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dyc\Desktop\"/>
    </mc:Choice>
  </mc:AlternateContent>
  <xr:revisionPtr revIDLastSave="0" documentId="8_{46AD4606-FC30-4454-B6AF-641F2DE37CFD}" xr6:coauthVersionLast="47" xr6:coauthVersionMax="47" xr10:uidLastSave="{00000000-0000-0000-0000-000000000000}"/>
  <bookViews>
    <workbookView xWindow="38280" yWindow="-120" windowWidth="29040" windowHeight="16440" tabRatio="500" xr2:uid="{00000000-000D-0000-FFFF-FFFF00000000}"/>
  </bookViews>
  <sheets>
    <sheet name="Park Data" sheetId="1" r:id="rId1"/>
    <sheet name="Pivot Analysis" sheetId="2" r:id="rId2"/>
    <sheet name="Dashboard" sheetId="3" r:id="rId3"/>
    <sheet name="Formulas &amp; Analysis" sheetId="4" r:id="rId4"/>
  </sheets>
  <definedNames>
    <definedName name="_xlnm._FilterDatabase" localSheetId="0" hidden="1">'Park Data'!$A$4:$L$46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9" i="4" l="1"/>
  <c r="B68" i="4"/>
  <c r="B67" i="4"/>
  <c r="B66" i="4"/>
  <c r="B65" i="4"/>
  <c r="G56" i="4"/>
  <c r="F56" i="4"/>
  <c r="D56" i="4"/>
  <c r="C56" i="4"/>
  <c r="B56" i="4"/>
  <c r="E25" i="4" s="1"/>
  <c r="H55" i="4"/>
  <c r="G55" i="4"/>
  <c r="F55" i="4"/>
  <c r="D55" i="4"/>
  <c r="C55" i="4"/>
  <c r="B55" i="4"/>
  <c r="H54" i="4"/>
  <c r="G54" i="4"/>
  <c r="F54" i="4"/>
  <c r="D54" i="4"/>
  <c r="C54" i="4"/>
  <c r="B54" i="4"/>
  <c r="E54" i="4" s="1"/>
  <c r="G53" i="4"/>
  <c r="F53" i="4"/>
  <c r="D53" i="4"/>
  <c r="C53" i="4"/>
  <c r="B53" i="4"/>
  <c r="H53" i="4" s="1"/>
  <c r="H52" i="4"/>
  <c r="G52" i="4"/>
  <c r="F52" i="4"/>
  <c r="D52" i="4"/>
  <c r="C52" i="4"/>
  <c r="B52" i="4"/>
  <c r="E52" i="4" s="1"/>
  <c r="G51" i="4"/>
  <c r="F51" i="4"/>
  <c r="D51" i="4"/>
  <c r="C51" i="4"/>
  <c r="B51" i="4"/>
  <c r="H51" i="4" s="1"/>
  <c r="H50" i="4"/>
  <c r="G50" i="4"/>
  <c r="F50" i="4"/>
  <c r="D50" i="4"/>
  <c r="C50" i="4"/>
  <c r="B50" i="4"/>
  <c r="E50" i="4" s="1"/>
  <c r="G49" i="4"/>
  <c r="F49" i="4"/>
  <c r="D49" i="4"/>
  <c r="C49" i="4"/>
  <c r="B49" i="4"/>
  <c r="H49" i="4" s="1"/>
  <c r="H48" i="4"/>
  <c r="G48" i="4"/>
  <c r="F48" i="4"/>
  <c r="D48" i="4"/>
  <c r="C48" i="4"/>
  <c r="B48" i="4"/>
  <c r="G47" i="4"/>
  <c r="F47" i="4"/>
  <c r="D47" i="4"/>
  <c r="C47" i="4"/>
  <c r="B47" i="4"/>
  <c r="H47" i="4" s="1"/>
  <c r="G46" i="4"/>
  <c r="F46" i="4"/>
  <c r="D46" i="4"/>
  <c r="C46" i="4"/>
  <c r="B46" i="4"/>
  <c r="H46" i="4" s="1"/>
  <c r="G45" i="4"/>
  <c r="F45" i="4"/>
  <c r="D45" i="4"/>
  <c r="C45" i="4"/>
  <c r="B45" i="4"/>
  <c r="H45" i="4" s="1"/>
  <c r="G44" i="4"/>
  <c r="F44" i="4"/>
  <c r="D44" i="4"/>
  <c r="C44" i="4"/>
  <c r="B44" i="4"/>
  <c r="H44" i="4" s="1"/>
  <c r="H43" i="4"/>
  <c r="G43" i="4"/>
  <c r="F43" i="4"/>
  <c r="D43" i="4"/>
  <c r="C43" i="4"/>
  <c r="B43" i="4"/>
  <c r="H42" i="4"/>
  <c r="G42" i="4"/>
  <c r="F42" i="4"/>
  <c r="D42" i="4"/>
  <c r="C42" i="4"/>
  <c r="B42" i="4"/>
  <c r="H41" i="4"/>
  <c r="G41" i="4"/>
  <c r="F41" i="4"/>
  <c r="D41" i="4"/>
  <c r="C41" i="4"/>
  <c r="B41" i="4"/>
  <c r="G40" i="4"/>
  <c r="F40" i="4"/>
  <c r="D40" i="4"/>
  <c r="C40" i="4"/>
  <c r="B40" i="4"/>
  <c r="E40" i="4" s="1"/>
  <c r="H39" i="4"/>
  <c r="G39" i="4"/>
  <c r="F39" i="4"/>
  <c r="D39" i="4"/>
  <c r="C39" i="4"/>
  <c r="B39" i="4"/>
  <c r="H38" i="4"/>
  <c r="G38" i="4"/>
  <c r="F38" i="4"/>
  <c r="D38" i="4"/>
  <c r="C38" i="4"/>
  <c r="B38" i="4"/>
  <c r="E38" i="4" s="1"/>
  <c r="G37" i="4"/>
  <c r="F37" i="4"/>
  <c r="D37" i="4"/>
  <c r="C37" i="4"/>
  <c r="B37" i="4"/>
  <c r="H37" i="4" s="1"/>
  <c r="H36" i="4"/>
  <c r="G36" i="4"/>
  <c r="F36" i="4"/>
  <c r="D36" i="4"/>
  <c r="C36" i="4"/>
  <c r="B36" i="4"/>
  <c r="E36" i="4" s="1"/>
  <c r="G35" i="4"/>
  <c r="F35" i="4"/>
  <c r="D35" i="4"/>
  <c r="C35" i="4"/>
  <c r="B35" i="4"/>
  <c r="H35" i="4" s="1"/>
  <c r="H34" i="4"/>
  <c r="G34" i="4"/>
  <c r="F34" i="4"/>
  <c r="D34" i="4"/>
  <c r="C34" i="4"/>
  <c r="B34" i="4"/>
  <c r="E34" i="4" s="1"/>
  <c r="G33" i="4"/>
  <c r="F33" i="4"/>
  <c r="D33" i="4"/>
  <c r="C33" i="4"/>
  <c r="B33" i="4"/>
  <c r="H33" i="4" s="1"/>
  <c r="H32" i="4"/>
  <c r="G32" i="4"/>
  <c r="F32" i="4"/>
  <c r="D32" i="4"/>
  <c r="C32" i="4"/>
  <c r="B32" i="4"/>
  <c r="G31" i="4"/>
  <c r="F31" i="4"/>
  <c r="D31" i="4"/>
  <c r="C31" i="4"/>
  <c r="B31" i="4"/>
  <c r="H31" i="4" s="1"/>
  <c r="G30" i="4"/>
  <c r="F30" i="4"/>
  <c r="D30" i="4"/>
  <c r="C30" i="4"/>
  <c r="B30" i="4"/>
  <c r="E41" i="4" s="1"/>
  <c r="G29" i="4"/>
  <c r="F29" i="4"/>
  <c r="D29" i="4"/>
  <c r="C29" i="4"/>
  <c r="B29" i="4"/>
  <c r="H29" i="4" s="1"/>
  <c r="G28" i="4"/>
  <c r="F28" i="4"/>
  <c r="D28" i="4"/>
  <c r="C28" i="4"/>
  <c r="B28" i="4"/>
  <c r="H28" i="4" s="1"/>
  <c r="H27" i="4"/>
  <c r="G27" i="4"/>
  <c r="F27" i="4"/>
  <c r="D27" i="4"/>
  <c r="C27" i="4"/>
  <c r="B27" i="4"/>
  <c r="H26" i="4"/>
  <c r="G26" i="4"/>
  <c r="F26" i="4"/>
  <c r="D26" i="4"/>
  <c r="C26" i="4"/>
  <c r="B26" i="4"/>
  <c r="H25" i="4"/>
  <c r="G25" i="4"/>
  <c r="F25" i="4"/>
  <c r="D25" i="4"/>
  <c r="C25" i="4"/>
  <c r="B25" i="4"/>
  <c r="G24" i="4"/>
  <c r="F24" i="4"/>
  <c r="D24" i="4"/>
  <c r="C24" i="4"/>
  <c r="B24" i="4"/>
  <c r="H24" i="4" s="1"/>
  <c r="H23" i="4"/>
  <c r="G23" i="4"/>
  <c r="F23" i="4"/>
  <c r="D23" i="4"/>
  <c r="C23" i="4"/>
  <c r="B23" i="4"/>
  <c r="H22" i="4"/>
  <c r="G22" i="4"/>
  <c r="F22" i="4"/>
  <c r="D22" i="4"/>
  <c r="C22" i="4"/>
  <c r="B22" i="4"/>
  <c r="E22" i="4" s="1"/>
  <c r="G21" i="4"/>
  <c r="F21" i="4"/>
  <c r="D21" i="4"/>
  <c r="C21" i="4"/>
  <c r="B21" i="4"/>
  <c r="E35" i="4" s="1"/>
  <c r="H20" i="4"/>
  <c r="G20" i="4"/>
  <c r="F20" i="4"/>
  <c r="D20" i="4"/>
  <c r="C20" i="4"/>
  <c r="B20" i="4"/>
  <c r="E20" i="4" s="1"/>
  <c r="G19" i="4"/>
  <c r="F19" i="4"/>
  <c r="D19" i="4"/>
  <c r="C19" i="4"/>
  <c r="B19" i="4"/>
  <c r="H19" i="4" s="1"/>
  <c r="H18" i="4"/>
  <c r="G18" i="4"/>
  <c r="F18" i="4"/>
  <c r="D18" i="4"/>
  <c r="C18" i="4"/>
  <c r="B18" i="4"/>
  <c r="E18" i="4" s="1"/>
  <c r="G17" i="4"/>
  <c r="F17" i="4"/>
  <c r="D17" i="4"/>
  <c r="C17" i="4"/>
  <c r="B17" i="4"/>
  <c r="H17" i="4" s="1"/>
  <c r="H16" i="4"/>
  <c r="G16" i="4"/>
  <c r="F16" i="4"/>
  <c r="D16" i="4"/>
  <c r="C16" i="4"/>
  <c r="B16" i="4"/>
  <c r="G15" i="4"/>
  <c r="F15" i="4"/>
  <c r="D15" i="4"/>
  <c r="C15" i="4"/>
  <c r="B15" i="4"/>
  <c r="E42" i="4" s="1"/>
  <c r="G9" i="4"/>
  <c r="D9" i="4"/>
  <c r="A9" i="4"/>
  <c r="A6" i="4"/>
  <c r="B18" i="3"/>
  <c r="B6" i="3"/>
  <c r="B5" i="3"/>
  <c r="E35" i="2"/>
  <c r="D35" i="2"/>
  <c r="B35" i="2"/>
  <c r="F31" i="2"/>
  <c r="D19" i="2"/>
  <c r="G10" i="2"/>
  <c r="F35" i="2" s="1"/>
  <c r="F10" i="2"/>
  <c r="E10" i="2"/>
  <c r="D10" i="2"/>
  <c r="C10" i="2"/>
  <c r="C35" i="2" s="1"/>
  <c r="B10" i="2"/>
  <c r="G9" i="2"/>
  <c r="B17" i="3" s="1"/>
  <c r="F9" i="2"/>
  <c r="E34" i="2" s="1"/>
  <c r="E9" i="2"/>
  <c r="D34" i="2" s="1"/>
  <c r="D9" i="2"/>
  <c r="C34" i="2" s="1"/>
  <c r="C9" i="2"/>
  <c r="B34" i="2" s="1"/>
  <c r="B9" i="2"/>
  <c r="G8" i="2"/>
  <c r="B16" i="3" s="1"/>
  <c r="F8" i="2"/>
  <c r="E33" i="2" s="1"/>
  <c r="E8" i="2"/>
  <c r="D33" i="2" s="1"/>
  <c r="D8" i="2"/>
  <c r="C33" i="2" s="1"/>
  <c r="C8" i="2"/>
  <c r="B33" i="2" s="1"/>
  <c r="B8" i="2"/>
  <c r="G7" i="2"/>
  <c r="B15" i="3" s="1"/>
  <c r="F7" i="2"/>
  <c r="E32" i="2" s="1"/>
  <c r="E7" i="2"/>
  <c r="D32" i="2" s="1"/>
  <c r="D7" i="2"/>
  <c r="D11" i="2" s="1"/>
  <c r="C7" i="2"/>
  <c r="B32" i="2" s="1"/>
  <c r="B7" i="2"/>
  <c r="G6" i="2"/>
  <c r="B14" i="3" s="1"/>
  <c r="F6" i="2"/>
  <c r="E31" i="2" s="1"/>
  <c r="E6" i="2"/>
  <c r="D31" i="2" s="1"/>
  <c r="D6" i="2"/>
  <c r="C31" i="2" s="1"/>
  <c r="C6" i="2"/>
  <c r="B31" i="2" s="1"/>
  <c r="B6" i="2"/>
  <c r="G5" i="2"/>
  <c r="G11" i="2" s="1"/>
  <c r="F5" i="2"/>
  <c r="E30" i="2" s="1"/>
  <c r="E5" i="2"/>
  <c r="D30" i="2" s="1"/>
  <c r="D5" i="2"/>
  <c r="C30" i="2" s="1"/>
  <c r="C5" i="2"/>
  <c r="C11" i="2" s="1"/>
  <c r="B5" i="2"/>
  <c r="B11" i="2" s="1"/>
  <c r="K47" i="1"/>
  <c r="J47" i="1"/>
  <c r="D18" i="2" s="1"/>
  <c r="I47" i="1"/>
  <c r="B8" i="3" s="1"/>
  <c r="H47" i="1"/>
  <c r="B7" i="3" s="1"/>
  <c r="G47" i="1"/>
  <c r="F47" i="1"/>
  <c r="E47" i="1"/>
  <c r="B4" i="3" s="1"/>
  <c r="E55" i="4" l="1"/>
  <c r="C32" i="2"/>
  <c r="E23" i="4"/>
  <c r="G6" i="4"/>
  <c r="E21" i="4"/>
  <c r="E37" i="4"/>
  <c r="E53" i="4"/>
  <c r="E48" i="4"/>
  <c r="E39" i="4"/>
  <c r="D22" i="2"/>
  <c r="E30" i="4"/>
  <c r="E46" i="4"/>
  <c r="D23" i="2"/>
  <c r="D24" i="2"/>
  <c r="F32" i="2"/>
  <c r="E28" i="4"/>
  <c r="E44" i="4"/>
  <c r="E17" i="4"/>
  <c r="E33" i="4"/>
  <c r="E49" i="4"/>
  <c r="E56" i="4"/>
  <c r="F11" i="2"/>
  <c r="F30" i="2"/>
  <c r="B13" i="3"/>
  <c r="H21" i="4"/>
  <c r="E24" i="4"/>
  <c r="E31" i="4"/>
  <c r="E29" i="4"/>
  <c r="H40" i="4"/>
  <c r="E45" i="4"/>
  <c r="H56" i="4"/>
  <c r="D21" i="2"/>
  <c r="E51" i="4"/>
  <c r="B30" i="2"/>
  <c r="E11" i="2"/>
  <c r="B9" i="3"/>
  <c r="E15" i="4"/>
  <c r="E47" i="4"/>
  <c r="D16" i="2"/>
  <c r="H15" i="4"/>
  <c r="E16" i="4"/>
  <c r="E32" i="4"/>
  <c r="H30" i="4"/>
  <c r="E26" i="4"/>
  <c r="F33" i="2"/>
  <c r="D17" i="2"/>
  <c r="E27" i="4"/>
  <c r="E43" i="4"/>
  <c r="D20" i="2"/>
  <c r="D6" i="4"/>
  <c r="D25" i="2"/>
  <c r="E19" i="4"/>
  <c r="F34" i="2"/>
</calcChain>
</file>

<file path=xl/sharedStrings.xml><?xml version="1.0" encoding="utf-8"?>
<sst xmlns="http://schemas.openxmlformats.org/spreadsheetml/2006/main" count="330" uniqueCount="115">
  <si>
    <t>Colorado State Parks — Visitation Data (2018–2023)</t>
  </si>
  <si>
    <t>Source: Colorado Parks &amp; Wildlife (CPW) — data.colorado.gov  |  Compiled for portfolio analysis</t>
  </si>
  <si>
    <t>Park Name</t>
  </si>
  <si>
    <t>Region</t>
  </si>
  <si>
    <t>Park Type</t>
  </si>
  <si>
    <t>Acres</t>
  </si>
  <si>
    <t>2018</t>
  </si>
  <si>
    <t>2019</t>
  </si>
  <si>
    <t>2020</t>
  </si>
  <si>
    <t>2021</t>
  </si>
  <si>
    <t>2022</t>
  </si>
  <si>
    <t>2023</t>
  </si>
  <si>
    <t>Camping Sites</t>
  </si>
  <si>
    <t>Water Access</t>
  </si>
  <si>
    <t>Lake Pueblo</t>
  </si>
  <si>
    <t>Southeast</t>
  </si>
  <si>
    <t>Reservoir</t>
  </si>
  <si>
    <t>Yes</t>
  </si>
  <si>
    <t>Cherry Creek</t>
  </si>
  <si>
    <t>Metro</t>
  </si>
  <si>
    <t>Chatfield</t>
  </si>
  <si>
    <t>Boyd Lake</t>
  </si>
  <si>
    <t>Northeast</t>
  </si>
  <si>
    <t>Jackson Lake</t>
  </si>
  <si>
    <t>Navajo</t>
  </si>
  <si>
    <t>Southwest</t>
  </si>
  <si>
    <t>Ridgway</t>
  </si>
  <si>
    <t>Eleven Mile</t>
  </si>
  <si>
    <t>Central</t>
  </si>
  <si>
    <t>Spinney Mountain</t>
  </si>
  <si>
    <t>Trinidad Lake</t>
  </si>
  <si>
    <t>Stagecoach</t>
  </si>
  <si>
    <t>Northwest</t>
  </si>
  <si>
    <t>Steamboat Lake</t>
  </si>
  <si>
    <t>Barr Lake</t>
  </si>
  <si>
    <t>Wildlife Viewing</t>
  </si>
  <si>
    <t>Golden Gate Canyon</t>
  </si>
  <si>
    <t>Mountain</t>
  </si>
  <si>
    <t>No</t>
  </si>
  <si>
    <t>Eldorado Canyon</t>
  </si>
  <si>
    <t>Canyon</t>
  </si>
  <si>
    <t>Roxborough</t>
  </si>
  <si>
    <t>Geological</t>
  </si>
  <si>
    <t>Castlewood Canyon</t>
  </si>
  <si>
    <t>Staunton</t>
  </si>
  <si>
    <t>Mueller</t>
  </si>
  <si>
    <t>Cheyenne Mountain</t>
  </si>
  <si>
    <t>Lory</t>
  </si>
  <si>
    <t>Sylvan Lake</t>
  </si>
  <si>
    <t>State Forest</t>
  </si>
  <si>
    <t>Forest</t>
  </si>
  <si>
    <t>Pearl Lake</t>
  </si>
  <si>
    <t>Rifle Falls</t>
  </si>
  <si>
    <t>Waterfall</t>
  </si>
  <si>
    <t>Rifle Gap</t>
  </si>
  <si>
    <t>Highline Lake</t>
  </si>
  <si>
    <t>Vega</t>
  </si>
  <si>
    <t>Paonia</t>
  </si>
  <si>
    <t>Crawford</t>
  </si>
  <si>
    <t>Mancos</t>
  </si>
  <si>
    <t>Sweitzer Lake</t>
  </si>
  <si>
    <t>North Sterling</t>
  </si>
  <si>
    <t>Bonny Lake</t>
  </si>
  <si>
    <t>Prairie</t>
  </si>
  <si>
    <t>John Martin</t>
  </si>
  <si>
    <t>Arkansas Headwaters</t>
  </si>
  <si>
    <t>River</t>
  </si>
  <si>
    <t>Yampa River</t>
  </si>
  <si>
    <t>San Luis</t>
  </si>
  <si>
    <t>James M. Robb</t>
  </si>
  <si>
    <t>St. Vrain</t>
  </si>
  <si>
    <t>Fishers Peak</t>
  </si>
  <si>
    <t>Sweetwater Lake</t>
  </si>
  <si>
    <t>TOTAL</t>
  </si>
  <si>
    <t>Pivot Table Analysis — Colorado State Parks Visitation</t>
  </si>
  <si>
    <t>Pivot 1: Total Visitation by Region (2018–2023)</t>
  </si>
  <si>
    <t>Grand Total</t>
  </si>
  <si>
    <t>Pivot 2: Top 10 Parks by 2023 Visitation</t>
  </si>
  <si>
    <t>Rank</t>
  </si>
  <si>
    <t>2023 Visitors</t>
  </si>
  <si>
    <t>% of Total</t>
  </si>
  <si>
    <t>Pivot 3: Year-over-Year Growth Rate by Region</t>
  </si>
  <si>
    <t>2018→2019</t>
  </si>
  <si>
    <t>2019→2020</t>
  </si>
  <si>
    <t>2020→2021</t>
  </si>
  <si>
    <t>2021→2022</t>
  </si>
  <si>
    <t>2022→2023</t>
  </si>
  <si>
    <t>Colorado State Parks — Visitation Dashboard</t>
  </si>
  <si>
    <t>Year</t>
  </si>
  <si>
    <t>Total Visitors</t>
  </si>
  <si>
    <t>Count</t>
  </si>
  <si>
    <t>Park</t>
  </si>
  <si>
    <t>Advanced Analysis — Formulas &amp; Calculated Metrics</t>
  </si>
  <si>
    <t>Key Performance Indicators (2023)</t>
  </si>
  <si>
    <t>Total Parks</t>
  </si>
  <si>
    <t>Total 2023 Visitors</t>
  </si>
  <si>
    <t>Avg Visitors/Park</t>
  </si>
  <si>
    <t>Parks with Camping</t>
  </si>
  <si>
    <t>Parks with Water Access</t>
  </si>
  <si>
    <t>Median Park Acreage</t>
  </si>
  <si>
    <t>Park-Level Calculated Metrics</t>
  </si>
  <si>
    <t>Visitors/Acre</t>
  </si>
  <si>
    <t>5-Yr Growth %</t>
  </si>
  <si>
    <t>2023 Rank</t>
  </si>
  <si>
    <t>Peak Year</t>
  </si>
  <si>
    <t>COVID Impact %</t>
  </si>
  <si>
    <t>Category</t>
  </si>
  <si>
    <t>Formulas Used: SUMIFS, COUNTIF, RANK, INDEX/MATCH, nested IF, MEDIAN, division with error handling</t>
  </si>
  <si>
    <t>Quick Lookup Tool (VLOOKUP / INDEX-MATCH)</t>
  </si>
  <si>
    <t>Enter Park Name:</t>
  </si>
  <si>
    <t>Region:</t>
  </si>
  <si>
    <t>Park Type:</t>
  </si>
  <si>
    <t>Acreage:</t>
  </si>
  <si>
    <t>2023 Visitors:</t>
  </si>
  <si>
    <t>Water Access: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</si>
</sst>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4" x14ac:knownFonts="1">
    <font>
      <sz val="11"/>
      <color theme="1"/>
      <name val="Calibri"/>
      <family val="2"/>
      <charset val="1"/>
    </font>
    <font>
      <b/>
      <sz val="16"/>
      <color rgb="FF1B4332"/>
      <name val="Arial"/>
      <charset val="1"/>
    </font>
    <font>
      <i/>
      <sz val="10"/>
      <color rgb="FF0563C1"/>
      <name val="Arial"/>
      <charset val="1"/>
    </font>
    <font>
      <b/>
      <sz val="11"/>
      <color rgb="FFFFFFFF"/>
      <name val="Arial"/>
      <charset val="1"/>
    </font>
    <font>
      <sz val="10"/>
      <color rgb="FF333333"/>
      <name val="Arial"/>
      <charset val="1"/>
    </font>
    <font>
      <b/>
      <sz val="11"/>
      <color rgb="FF1B4332"/>
      <name val="Arial"/>
      <charset val="1"/>
    </font>
    <font>
      <b/>
      <sz val="10"/>
      <color rgb="FF1B4332"/>
      <name val="Arial"/>
      <charset val="1"/>
    </font>
    <font>
      <b/>
      <sz val="12"/>
      <color rgb="FF2D6A4F"/>
      <name val="Arial"/>
      <charset val="1"/>
    </font>
    <font>
      <b/>
      <sz val="10"/>
      <color rgb="FF333333"/>
      <name val="Arial"/>
      <charset val="1"/>
    </font>
    <font>
      <b/>
      <sz val="9"/>
      <color rgb="FF2D6A4F"/>
      <name val="Arial"/>
      <charset val="1"/>
    </font>
    <font>
      <b/>
      <sz val="18"/>
      <color rgb="FF1B4332"/>
      <name val="Arial"/>
      <charset val="1"/>
    </font>
    <font>
      <i/>
      <sz val="9"/>
      <color rgb="FF40916C"/>
      <name val="Arial"/>
      <charset val="1"/>
    </font>
    <font>
      <b/>
      <sz val="11"/>
      <color rgb="FF0000FF"/>
      <name val="Arial"/>
      <charset val="1"/>
    </font>
    <font>
      <b/>
      <sz val="11"/>
      <color rgb="FF3F3F3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B4332"/>
        <bgColor rgb="FF333333"/>
      </patternFill>
    </fill>
    <fill>
      <patternFill patternType="solid">
        <fgColor rgb="FFD8F3DC"/>
        <bgColor rgb="FFE8F5E9"/>
      </patternFill>
    </fill>
    <fill>
      <patternFill patternType="solid">
        <fgColor rgb="FFFFFFCC"/>
        <bgColor rgb="FFF9F9F9"/>
      </patternFill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1B4332"/>
      </top>
      <bottom style="double">
        <color rgb="FF1B4332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3" fillId="5" borderId="4" applyNumberFormat="0" applyAlignment="0" applyProtection="0"/>
  </cellStyleXfs>
  <cellXfs count="27">
    <xf numFmtId="0" fontId="0" fillId="0" borderId="0" xfId="0"/>
    <xf numFmtId="0" fontId="11" fillId="0" borderId="0" xfId="0" applyFont="1"/>
    <xf numFmtId="3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3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8" fillId="0" borderId="0" xfId="0" applyFont="1"/>
    <xf numFmtId="0" fontId="4" fillId="0" borderId="0" xfId="0" applyFont="1"/>
    <xf numFmtId="3" fontId="4" fillId="0" borderId="0" xfId="0" applyNumberFormat="1" applyFont="1"/>
    <xf numFmtId="0" fontId="12" fillId="4" borderId="3" xfId="0" applyFont="1" applyFill="1" applyBorder="1"/>
    <xf numFmtId="0" fontId="8" fillId="0" borderId="0" xfId="0" applyFont="1" applyAlignment="1">
      <alignment horizontal="right" vertical="center"/>
    </xf>
    <xf numFmtId="3" fontId="5" fillId="0" borderId="1" xfId="0" applyNumberFormat="1" applyFont="1" applyBorder="1"/>
    <xf numFmtId="0" fontId="13" fillId="5" borderId="4" xfId="1" applyAlignment="1">
      <alignment horizontal="left" vertical="center" wrapText="1"/>
    </xf>
    <xf numFmtId="3" fontId="13" fillId="5" borderId="4" xfId="1" applyNumberFormat="1" applyAlignment="1">
      <alignment horizontal="right" vertical="center"/>
    </xf>
    <xf numFmtId="165" fontId="13" fillId="5" borderId="4" xfId="1" applyNumberFormat="1" applyAlignment="1">
      <alignment horizontal="right" vertical="center"/>
    </xf>
    <xf numFmtId="164" fontId="13" fillId="5" borderId="4" xfId="1" applyNumberFormat="1" applyAlignment="1">
      <alignment horizontal="center" vertical="center" wrapText="1"/>
    </xf>
    <xf numFmtId="0" fontId="13" fillId="5" borderId="4" xfId="1" applyAlignment="1">
      <alignment horizontal="center" vertical="center" wrapText="1"/>
    </xf>
    <xf numFmtId="1" fontId="13" fillId="5" borderId="4" xfId="1" applyNumberFormat="1" applyAlignment="1">
      <alignment horizontal="center" vertical="center" wrapText="1"/>
    </xf>
    <xf numFmtId="3" fontId="13" fillId="5" borderId="4" xfId="1" applyNumberFormat="1" applyAlignment="1">
      <alignment horizontal="center" vertical="center" wrapText="1"/>
    </xf>
    <xf numFmtId="0" fontId="13" fillId="5" borderId="4" xfId="1"/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B7E4C7"/>
      <rgbColor rgb="FF878787"/>
      <rgbColor rgb="FF9999FF"/>
      <rgbColor rgb="FF993366"/>
      <rgbColor rgb="FFFFFFCC"/>
      <rgbColor rgb="FFE8F5E9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9F9"/>
      <rgbColor rgb="FFD8F3DC"/>
      <rgbColor rgb="FFFFFF99"/>
      <rgbColor rgb="FF95D5B2"/>
      <rgbColor rgb="FFFF99CC"/>
      <rgbColor rgb="FFCC99FF"/>
      <rgbColor rgb="FFFFCC99"/>
      <rgbColor rgb="FF3366FF"/>
      <rgbColor rgb="FF52B788"/>
      <rgbColor rgb="FF99CC00"/>
      <rgbColor rgb="FFFFCC00"/>
      <rgbColor rgb="FFFF9900"/>
      <rgbColor rgb="FFFF6600"/>
      <rgbColor rgb="FF4F81BD"/>
      <rgbColor rgb="FF74C69D"/>
      <rgbColor rgb="FF003366"/>
      <rgbColor rgb="FF40916C"/>
      <rgbColor rgb="FF003300"/>
      <rgbColor rgb="FF1B433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Statewide Visitation Trend (2018–2023)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</c:f>
              <c:strCache>
                <c:ptCount val="1"/>
                <c:pt idx="0">
                  <c:v>Total Visitors</c:v>
                </c:pt>
              </c:strCache>
            </c:strRef>
          </c:tx>
          <c:spPr>
            <a:ln w="28080">
              <a:solidFill>
                <a:srgbClr val="1B4332"/>
              </a:solidFill>
              <a:round/>
            </a:ln>
          </c:spPr>
          <c:marker>
            <c:symbol val="circle"/>
            <c:size val="8"/>
            <c:spPr>
              <a:solidFill>
                <a:srgbClr val="1B4332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Dashboard!$A$4:$A$9</c:f>
              <c:strCach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strCache>
            </c:strRef>
          </c:cat>
          <c:val>
            <c:numRef>
              <c:f>Dashboard!$B$4:$B$9</c:f>
              <c:numCache>
                <c:formatCode>#,##0</c:formatCode>
                <c:ptCount val="6"/>
                <c:pt idx="0">
                  <c:v>15395000</c:v>
                </c:pt>
                <c:pt idx="1">
                  <c:v>16800000</c:v>
                </c:pt>
                <c:pt idx="2">
                  <c:v>20219000</c:v>
                </c:pt>
                <c:pt idx="3">
                  <c:v>21001224</c:v>
                </c:pt>
                <c:pt idx="4">
                  <c:v>18189958</c:v>
                </c:pt>
                <c:pt idx="5">
                  <c:v>18977000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0C-4012-B282-C8C92EBD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715786"/>
        <c:axId val="58772688"/>
      </c:lineChart>
      <c:catAx>
        <c:axId val="17157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Year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8772688"/>
        <c:crosses val="autoZero"/>
        <c:auto val="1"/>
        <c:lblAlgn val="ctr"/>
        <c:lblOffset val="100"/>
        <c:noMultiLvlLbl val="0"/>
      </c:catAx>
      <c:valAx>
        <c:axId val="587726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Total 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71578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2023 Visitation by Region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Dashboard!$B$12</c:f>
              <c:strCache>
                <c:ptCount val="1"/>
                <c:pt idx="0">
                  <c:v>2023 Visitors</c:v>
                </c:pt>
              </c:strCache>
            </c:strRef>
          </c:tx>
          <c:spPr>
            <a:solidFill>
              <a:srgbClr val="2D6A4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Dashboard!$A$13:$A$18</c:f>
              <c:strCache>
                <c:ptCount val="6"/>
                <c:pt idx="0">
                  <c:v>Central</c:v>
                </c:pt>
                <c:pt idx="1">
                  <c:v>Metro</c:v>
                </c:pt>
                <c:pt idx="2">
                  <c:v>Northeast</c:v>
                </c:pt>
                <c:pt idx="3">
                  <c:v>Northwest</c:v>
                </c:pt>
                <c:pt idx="4">
                  <c:v>Southeast</c:v>
                </c:pt>
                <c:pt idx="5">
                  <c:v>Southwest</c:v>
                </c:pt>
              </c:strCache>
            </c:strRef>
          </c:cat>
          <c:val>
            <c:numRef>
              <c:f>Dashboard!$B$13:$B$18</c:f>
              <c:numCache>
                <c:formatCode>#,##0</c:formatCode>
                <c:ptCount val="6"/>
                <c:pt idx="0">
                  <c:v>1957000</c:v>
                </c:pt>
                <c:pt idx="1">
                  <c:v>7170000</c:v>
                </c:pt>
                <c:pt idx="2">
                  <c:v>2250000</c:v>
                </c:pt>
                <c:pt idx="3">
                  <c:v>1938000</c:v>
                </c:pt>
                <c:pt idx="4">
                  <c:v>4020000</c:v>
                </c:pt>
                <c:pt idx="5">
                  <c:v>1642000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3-4283-A817-C9AB0EE4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2866"/>
        <c:axId val="25872717"/>
      </c:barChart>
      <c:catAx>
        <c:axId val="317286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872717"/>
        <c:crosses val="autoZero"/>
        <c:auto val="1"/>
        <c:lblAlgn val="ctr"/>
        <c:lblOffset val="100"/>
        <c:noMultiLvlLbl val="0"/>
      </c:catAx>
      <c:valAx>
        <c:axId val="2587271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17286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Parks by Type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1B433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430E-46EB-B494-65029171D69E}"/>
              </c:ext>
            </c:extLst>
          </c:dPt>
          <c:dPt>
            <c:idx val="1"/>
            <c:bubble3D val="0"/>
            <c:spPr>
              <a:solidFill>
                <a:srgbClr val="2D6A4F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430E-46EB-B494-65029171D69E}"/>
              </c:ext>
            </c:extLst>
          </c:dPt>
          <c:dPt>
            <c:idx val="2"/>
            <c:bubble3D val="0"/>
            <c:spPr>
              <a:solidFill>
                <a:srgbClr val="40916C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430E-46EB-B494-65029171D69E}"/>
              </c:ext>
            </c:extLst>
          </c:dPt>
          <c:dPt>
            <c:idx val="3"/>
            <c:bubble3D val="0"/>
            <c:spPr>
              <a:solidFill>
                <a:srgbClr val="52B788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430E-46EB-B494-65029171D69E}"/>
              </c:ext>
            </c:extLst>
          </c:dPt>
          <c:dPt>
            <c:idx val="4"/>
            <c:bubble3D val="0"/>
            <c:spPr>
              <a:solidFill>
                <a:srgbClr val="74C69D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430E-46EB-B494-65029171D69E}"/>
              </c:ext>
            </c:extLst>
          </c:dPt>
          <c:dPt>
            <c:idx val="5"/>
            <c:bubble3D val="0"/>
            <c:spPr>
              <a:solidFill>
                <a:srgbClr val="95D5B2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430E-46EB-B494-65029171D69E}"/>
              </c:ext>
            </c:extLst>
          </c:dPt>
          <c:dPt>
            <c:idx val="6"/>
            <c:bubble3D val="0"/>
            <c:spPr>
              <a:solidFill>
                <a:srgbClr val="B7E4C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430E-46EB-B494-65029171D69E}"/>
              </c:ext>
            </c:extLst>
          </c:dPt>
          <c:dPt>
            <c:idx val="7"/>
            <c:bubble3D val="0"/>
            <c:spPr>
              <a:solidFill>
                <a:srgbClr val="D8F3DC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F-430E-46EB-B494-65029171D69E}"/>
              </c:ext>
            </c:extLst>
          </c:dPt>
          <c:dPt>
            <c:idx val="8"/>
            <c:bubble3D val="0"/>
            <c:spPr>
              <a:solidFill>
                <a:srgbClr val="E8F5E9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11-430E-46EB-B494-65029171D69E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430E-46EB-B494-65029171D69E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430E-46EB-B494-65029171D69E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430E-46EB-B494-65029171D69E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430E-46EB-B494-65029171D69E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430E-46EB-B494-65029171D69E}"/>
                </c:ext>
              </c:extLst>
            </c:dLbl>
            <c:dLbl>
              <c:idx val="5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B-430E-46EB-B494-65029171D69E}"/>
                </c:ext>
              </c:extLst>
            </c:dLbl>
            <c:dLbl>
              <c:idx val="6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D-430E-46EB-B494-65029171D69E}"/>
                </c:ext>
              </c:extLst>
            </c:dLbl>
            <c:dLbl>
              <c:idx val="7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F-430E-46EB-B494-65029171D69E}"/>
                </c:ext>
              </c:extLst>
            </c:dLbl>
            <c:dLbl>
              <c:idx val="8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11-430E-46EB-B494-65029171D6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Dashboard!$A$22:$A$30</c:f>
              <c:strCache>
                <c:ptCount val="9"/>
                <c:pt idx="0">
                  <c:v>Reservoir</c:v>
                </c:pt>
                <c:pt idx="1">
                  <c:v>Mountain</c:v>
                </c:pt>
                <c:pt idx="2">
                  <c:v>River</c:v>
                </c:pt>
                <c:pt idx="3">
                  <c:v>Wildlife Viewing</c:v>
                </c:pt>
                <c:pt idx="4">
                  <c:v>Canyon</c:v>
                </c:pt>
                <c:pt idx="5">
                  <c:v>Geological</c:v>
                </c:pt>
                <c:pt idx="6">
                  <c:v>Forest</c:v>
                </c:pt>
                <c:pt idx="7">
                  <c:v>Waterfall</c:v>
                </c:pt>
                <c:pt idx="8">
                  <c:v>Prairie</c:v>
                </c:pt>
              </c:strCache>
            </c:strRef>
          </c:cat>
          <c:val>
            <c:numRef>
              <c:f>Dashboard!$B$22:$B$30</c:f>
              <c:numCache>
                <c:formatCode>General</c:formatCode>
                <c:ptCount val="9"/>
                <c:pt idx="0">
                  <c:v>21</c:v>
                </c:pt>
                <c:pt idx="1">
                  <c:v>9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0E-46EB-B494-65029171D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Top 5 Most Visited Parks (2023)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2023 Visitors</c:v>
                </c:pt>
              </c:strCache>
            </c:strRef>
          </c:tx>
          <c:spPr>
            <a:solidFill>
              <a:srgbClr val="1B433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Dashboard!$A$34:$A$38</c:f>
              <c:strCache>
                <c:ptCount val="5"/>
                <c:pt idx="0">
                  <c:v>Lake Pueblo</c:v>
                </c:pt>
                <c:pt idx="1">
                  <c:v>Cherry Creek</c:v>
                </c:pt>
                <c:pt idx="2">
                  <c:v>Chatfield</c:v>
                </c:pt>
                <c:pt idx="3">
                  <c:v>Boyd Lake</c:v>
                </c:pt>
                <c:pt idx="4">
                  <c:v>Golden Gate Canyon</c:v>
                </c:pt>
              </c:strCache>
            </c:strRef>
          </c:cat>
          <c:val>
            <c:numRef>
              <c:f>Dashboard!$B$34:$B$38</c:f>
              <c:numCache>
                <c:formatCode>#,##0</c:formatCode>
                <c:ptCount val="5"/>
                <c:pt idx="0">
                  <c:v>3650000</c:v>
                </c:pt>
                <c:pt idx="1">
                  <c:v>2200000</c:v>
                </c:pt>
                <c:pt idx="2">
                  <c:v>2150000</c:v>
                </c:pt>
                <c:pt idx="3">
                  <c:v>810000</c:v>
                </c:pt>
                <c:pt idx="4">
                  <c:v>810000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A-4AAD-A388-B9715E6C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08459"/>
        <c:axId val="84800447"/>
      </c:barChart>
      <c:catAx>
        <c:axId val="5810845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4800447"/>
        <c:crosses val="autoZero"/>
        <c:auto val="1"/>
        <c:lblAlgn val="ctr"/>
        <c:lblOffset val="100"/>
        <c:noMultiLvlLbl val="0"/>
      </c:catAx>
      <c:valAx>
        <c:axId val="84800447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810845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16</xdr:col>
      <xdr:colOff>375</xdr:colOff>
      <xdr:row>28</xdr:row>
      <xdr:rowOff>86400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19</xdr:row>
      <xdr:rowOff>0</xdr:rowOff>
    </xdr:from>
    <xdr:to>
      <xdr:col>16</xdr:col>
      <xdr:colOff>375</xdr:colOff>
      <xdr:row>45</xdr:row>
      <xdr:rowOff>86400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0</xdr:colOff>
      <xdr:row>2</xdr:row>
      <xdr:rowOff>0</xdr:rowOff>
    </xdr:from>
    <xdr:to>
      <xdr:col>22</xdr:col>
      <xdr:colOff>255960</xdr:colOff>
      <xdr:row>28</xdr:row>
      <xdr:rowOff>86400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13</xdr:col>
      <xdr:colOff>0</xdr:colOff>
      <xdr:row>19</xdr:row>
      <xdr:rowOff>0</xdr:rowOff>
    </xdr:from>
    <xdr:to>
      <xdr:col>26</xdr:col>
      <xdr:colOff>375</xdr:colOff>
      <xdr:row>45</xdr:row>
      <xdr:rowOff>86400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4332"/>
  </sheetPr>
  <dimension ref="A1:L47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8.7109375" defaultRowHeight="15" x14ac:dyDescent="0.25"/>
  <cols>
    <col min="1" max="1" width="24" customWidth="1"/>
    <col min="2" max="2" width="14" customWidth="1"/>
    <col min="3" max="3" width="18" customWidth="1"/>
    <col min="4" max="4" width="10" customWidth="1"/>
    <col min="5" max="10" width="14" customWidth="1"/>
    <col min="11" max="11" width="15" customWidth="1"/>
    <col min="12" max="12" width="14" customWidth="1"/>
  </cols>
  <sheetData>
    <row r="1" spans="1:12" ht="36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19.5" customHeight="1" x14ac:dyDescent="0.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ht="27.75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9" t="s">
        <v>14</v>
      </c>
      <c r="B5" s="23" t="s">
        <v>15</v>
      </c>
      <c r="C5" s="23" t="s">
        <v>16</v>
      </c>
      <c r="D5" s="20">
        <v>9594</v>
      </c>
      <c r="E5" s="20">
        <v>3800000</v>
      </c>
      <c r="F5" s="20">
        <v>4200000</v>
      </c>
      <c r="G5" s="20">
        <v>4500000</v>
      </c>
      <c r="H5" s="20">
        <v>4600000</v>
      </c>
      <c r="I5" s="20">
        <v>3500000</v>
      </c>
      <c r="J5" s="20">
        <v>3650000</v>
      </c>
      <c r="K5" s="25">
        <v>401</v>
      </c>
      <c r="L5" s="23" t="s">
        <v>17</v>
      </c>
    </row>
    <row r="6" spans="1:12" x14ac:dyDescent="0.25">
      <c r="A6" s="19" t="s">
        <v>18</v>
      </c>
      <c r="B6" s="23" t="s">
        <v>19</v>
      </c>
      <c r="C6" s="23" t="s">
        <v>16</v>
      </c>
      <c r="D6" s="20">
        <v>4200</v>
      </c>
      <c r="E6" s="20">
        <v>1800000</v>
      </c>
      <c r="F6" s="20">
        <v>1900000</v>
      </c>
      <c r="G6" s="20">
        <v>2350000</v>
      </c>
      <c r="H6" s="20">
        <v>2400000</v>
      </c>
      <c r="I6" s="20">
        <v>2100000</v>
      </c>
      <c r="J6" s="20">
        <v>2200000</v>
      </c>
      <c r="K6" s="25">
        <v>152</v>
      </c>
      <c r="L6" s="23" t="s">
        <v>17</v>
      </c>
    </row>
    <row r="7" spans="1:12" x14ac:dyDescent="0.25">
      <c r="A7" s="19" t="s">
        <v>20</v>
      </c>
      <c r="B7" s="23" t="s">
        <v>19</v>
      </c>
      <c r="C7" s="23" t="s">
        <v>16</v>
      </c>
      <c r="D7" s="20">
        <v>5600</v>
      </c>
      <c r="E7" s="20">
        <v>1750000</v>
      </c>
      <c r="F7" s="20">
        <v>1850000</v>
      </c>
      <c r="G7" s="20">
        <v>2200000</v>
      </c>
      <c r="H7" s="20">
        <v>2300000</v>
      </c>
      <c r="I7" s="20">
        <v>2050000</v>
      </c>
      <c r="J7" s="20">
        <v>2150000</v>
      </c>
      <c r="K7" s="25">
        <v>197</v>
      </c>
      <c r="L7" s="23" t="s">
        <v>17</v>
      </c>
    </row>
    <row r="8" spans="1:12" x14ac:dyDescent="0.25">
      <c r="A8" s="19" t="s">
        <v>21</v>
      </c>
      <c r="B8" s="23" t="s">
        <v>22</v>
      </c>
      <c r="C8" s="23" t="s">
        <v>16</v>
      </c>
      <c r="D8" s="20">
        <v>1700</v>
      </c>
      <c r="E8" s="20">
        <v>620000</v>
      </c>
      <c r="F8" s="20">
        <v>680000</v>
      </c>
      <c r="G8" s="20">
        <v>850000</v>
      </c>
      <c r="H8" s="20">
        <v>880000</v>
      </c>
      <c r="I8" s="20">
        <v>780000</v>
      </c>
      <c r="J8" s="20">
        <v>810000</v>
      </c>
      <c r="K8" s="25">
        <v>148</v>
      </c>
      <c r="L8" s="23" t="s">
        <v>17</v>
      </c>
    </row>
    <row r="9" spans="1:12" x14ac:dyDescent="0.25">
      <c r="A9" s="19" t="s">
        <v>23</v>
      </c>
      <c r="B9" s="23" t="s">
        <v>22</v>
      </c>
      <c r="C9" s="23" t="s">
        <v>16</v>
      </c>
      <c r="D9" s="20">
        <v>2700</v>
      </c>
      <c r="E9" s="20">
        <v>310000</v>
      </c>
      <c r="F9" s="20">
        <v>340000</v>
      </c>
      <c r="G9" s="20">
        <v>430000</v>
      </c>
      <c r="H9" s="20">
        <v>450000</v>
      </c>
      <c r="I9" s="20">
        <v>400000</v>
      </c>
      <c r="J9" s="20">
        <v>415000</v>
      </c>
      <c r="K9" s="25">
        <v>260</v>
      </c>
      <c r="L9" s="23" t="s">
        <v>17</v>
      </c>
    </row>
    <row r="10" spans="1:12" x14ac:dyDescent="0.25">
      <c r="A10" s="19" t="s">
        <v>24</v>
      </c>
      <c r="B10" s="23" t="s">
        <v>25</v>
      </c>
      <c r="C10" s="23" t="s">
        <v>16</v>
      </c>
      <c r="D10" s="20">
        <v>15000</v>
      </c>
      <c r="E10" s="20">
        <v>580000</v>
      </c>
      <c r="F10" s="20">
        <v>620000</v>
      </c>
      <c r="G10" s="20">
        <v>710000</v>
      </c>
      <c r="H10" s="20">
        <v>740000</v>
      </c>
      <c r="I10" s="20">
        <v>670000</v>
      </c>
      <c r="J10" s="20">
        <v>695000</v>
      </c>
      <c r="K10" s="25">
        <v>138</v>
      </c>
      <c r="L10" s="23" t="s">
        <v>17</v>
      </c>
    </row>
    <row r="11" spans="1:12" x14ac:dyDescent="0.25">
      <c r="A11" s="19" t="s">
        <v>26</v>
      </c>
      <c r="B11" s="23" t="s">
        <v>25</v>
      </c>
      <c r="C11" s="23" t="s">
        <v>16</v>
      </c>
      <c r="D11" s="20">
        <v>2200</v>
      </c>
      <c r="E11" s="20">
        <v>280000</v>
      </c>
      <c r="F11" s="20">
        <v>310000</v>
      </c>
      <c r="G11" s="20">
        <v>390000</v>
      </c>
      <c r="H11" s="20">
        <v>410000</v>
      </c>
      <c r="I11" s="20">
        <v>370000</v>
      </c>
      <c r="J11" s="20">
        <v>385000</v>
      </c>
      <c r="K11" s="25">
        <v>283</v>
      </c>
      <c r="L11" s="23" t="s">
        <v>17</v>
      </c>
    </row>
    <row r="12" spans="1:12" x14ac:dyDescent="0.25">
      <c r="A12" s="19" t="s">
        <v>27</v>
      </c>
      <c r="B12" s="23" t="s">
        <v>28</v>
      </c>
      <c r="C12" s="23" t="s">
        <v>16</v>
      </c>
      <c r="D12" s="20">
        <v>7662</v>
      </c>
      <c r="E12" s="20">
        <v>320000</v>
      </c>
      <c r="F12" s="20">
        <v>350000</v>
      </c>
      <c r="G12" s="20">
        <v>440000</v>
      </c>
      <c r="H12" s="20">
        <v>460000</v>
      </c>
      <c r="I12" s="20">
        <v>410000</v>
      </c>
      <c r="J12" s="20">
        <v>425000</v>
      </c>
      <c r="K12" s="25">
        <v>349</v>
      </c>
      <c r="L12" s="23" t="s">
        <v>17</v>
      </c>
    </row>
    <row r="13" spans="1:12" x14ac:dyDescent="0.25">
      <c r="A13" s="19" t="s">
        <v>29</v>
      </c>
      <c r="B13" s="23" t="s">
        <v>28</v>
      </c>
      <c r="C13" s="23" t="s">
        <v>16</v>
      </c>
      <c r="D13" s="20">
        <v>2500</v>
      </c>
      <c r="E13" s="20">
        <v>95000</v>
      </c>
      <c r="F13" s="20">
        <v>105000</v>
      </c>
      <c r="G13" s="20">
        <v>135000</v>
      </c>
      <c r="H13" s="20">
        <v>140000</v>
      </c>
      <c r="I13" s="20">
        <v>125000</v>
      </c>
      <c r="J13" s="20">
        <v>130000</v>
      </c>
      <c r="K13" s="25">
        <v>0</v>
      </c>
      <c r="L13" s="23" t="s">
        <v>17</v>
      </c>
    </row>
    <row r="14" spans="1:12" x14ac:dyDescent="0.25">
      <c r="A14" s="19" t="s">
        <v>30</v>
      </c>
      <c r="B14" s="23" t="s">
        <v>15</v>
      </c>
      <c r="C14" s="23" t="s">
        <v>16</v>
      </c>
      <c r="D14" s="20">
        <v>2300</v>
      </c>
      <c r="E14" s="20">
        <v>180000</v>
      </c>
      <c r="F14" s="20">
        <v>195000</v>
      </c>
      <c r="G14" s="20">
        <v>245000</v>
      </c>
      <c r="H14" s="20">
        <v>255000</v>
      </c>
      <c r="I14" s="20">
        <v>230000</v>
      </c>
      <c r="J14" s="20">
        <v>240000</v>
      </c>
      <c r="K14" s="25">
        <v>62</v>
      </c>
      <c r="L14" s="23" t="s">
        <v>17</v>
      </c>
    </row>
    <row r="15" spans="1:12" x14ac:dyDescent="0.25">
      <c r="A15" s="19" t="s">
        <v>31</v>
      </c>
      <c r="B15" s="23" t="s">
        <v>32</v>
      </c>
      <c r="C15" s="23" t="s">
        <v>16</v>
      </c>
      <c r="D15" s="20">
        <v>1641</v>
      </c>
      <c r="E15" s="20">
        <v>105000</v>
      </c>
      <c r="F15" s="20">
        <v>115000</v>
      </c>
      <c r="G15" s="20">
        <v>148000</v>
      </c>
      <c r="H15" s="20">
        <v>155000</v>
      </c>
      <c r="I15" s="20">
        <v>220000</v>
      </c>
      <c r="J15" s="20">
        <v>230000</v>
      </c>
      <c r="K15" s="25">
        <v>92</v>
      </c>
      <c r="L15" s="23" t="s">
        <v>17</v>
      </c>
    </row>
    <row r="16" spans="1:12" x14ac:dyDescent="0.25">
      <c r="A16" s="19" t="s">
        <v>33</v>
      </c>
      <c r="B16" s="23" t="s">
        <v>32</v>
      </c>
      <c r="C16" s="23" t="s">
        <v>16</v>
      </c>
      <c r="D16" s="20">
        <v>2820</v>
      </c>
      <c r="E16" s="20">
        <v>210000</v>
      </c>
      <c r="F16" s="20">
        <v>230000</v>
      </c>
      <c r="G16" s="20">
        <v>295000</v>
      </c>
      <c r="H16" s="20">
        <v>310000</v>
      </c>
      <c r="I16" s="20">
        <v>280000</v>
      </c>
      <c r="J16" s="20">
        <v>290000</v>
      </c>
      <c r="K16" s="25">
        <v>188</v>
      </c>
      <c r="L16" s="23" t="s">
        <v>17</v>
      </c>
    </row>
    <row r="17" spans="1:12" x14ac:dyDescent="0.25">
      <c r="A17" s="19" t="s">
        <v>34</v>
      </c>
      <c r="B17" s="23" t="s">
        <v>19</v>
      </c>
      <c r="C17" s="23" t="s">
        <v>35</v>
      </c>
      <c r="D17" s="20">
        <v>2715</v>
      </c>
      <c r="E17" s="20">
        <v>310000</v>
      </c>
      <c r="F17" s="20">
        <v>340000</v>
      </c>
      <c r="G17" s="20">
        <v>415000</v>
      </c>
      <c r="H17" s="20">
        <v>430000</v>
      </c>
      <c r="I17" s="20">
        <v>385000</v>
      </c>
      <c r="J17" s="20">
        <v>400000</v>
      </c>
      <c r="K17" s="25">
        <v>0</v>
      </c>
      <c r="L17" s="23" t="s">
        <v>17</v>
      </c>
    </row>
    <row r="18" spans="1:12" x14ac:dyDescent="0.25">
      <c r="A18" s="19" t="s">
        <v>36</v>
      </c>
      <c r="B18" s="23" t="s">
        <v>19</v>
      </c>
      <c r="C18" s="23" t="s">
        <v>37</v>
      </c>
      <c r="D18" s="20">
        <v>12000</v>
      </c>
      <c r="E18" s="20">
        <v>620000</v>
      </c>
      <c r="F18" s="20">
        <v>680000</v>
      </c>
      <c r="G18" s="20">
        <v>870000</v>
      </c>
      <c r="H18" s="20">
        <v>910000</v>
      </c>
      <c r="I18" s="20">
        <v>780000</v>
      </c>
      <c r="J18" s="20">
        <v>810000</v>
      </c>
      <c r="K18" s="25">
        <v>168</v>
      </c>
      <c r="L18" s="23" t="s">
        <v>38</v>
      </c>
    </row>
    <row r="19" spans="1:12" x14ac:dyDescent="0.25">
      <c r="A19" s="19" t="s">
        <v>39</v>
      </c>
      <c r="B19" s="23" t="s">
        <v>19</v>
      </c>
      <c r="C19" s="23" t="s">
        <v>40</v>
      </c>
      <c r="D19" s="20">
        <v>885</v>
      </c>
      <c r="E19" s="20">
        <v>380000</v>
      </c>
      <c r="F19" s="20">
        <v>420000</v>
      </c>
      <c r="G19" s="20">
        <v>530000</v>
      </c>
      <c r="H19" s="20">
        <v>560000</v>
      </c>
      <c r="I19" s="20">
        <v>510000</v>
      </c>
      <c r="J19" s="20">
        <v>530000</v>
      </c>
      <c r="K19" s="25">
        <v>0</v>
      </c>
      <c r="L19" s="23" t="s">
        <v>38</v>
      </c>
    </row>
    <row r="20" spans="1:12" x14ac:dyDescent="0.25">
      <c r="A20" s="19" t="s">
        <v>41</v>
      </c>
      <c r="B20" s="23" t="s">
        <v>19</v>
      </c>
      <c r="C20" s="23" t="s">
        <v>42</v>
      </c>
      <c r="D20" s="20">
        <v>4000</v>
      </c>
      <c r="E20" s="20">
        <v>280000</v>
      </c>
      <c r="F20" s="20">
        <v>310000</v>
      </c>
      <c r="G20" s="20">
        <v>400000</v>
      </c>
      <c r="H20" s="20">
        <v>420000</v>
      </c>
      <c r="I20" s="20">
        <v>370000</v>
      </c>
      <c r="J20" s="20">
        <v>385000</v>
      </c>
      <c r="K20" s="25">
        <v>0</v>
      </c>
      <c r="L20" s="23" t="s">
        <v>38</v>
      </c>
    </row>
    <row r="21" spans="1:12" x14ac:dyDescent="0.25">
      <c r="A21" s="19" t="s">
        <v>43</v>
      </c>
      <c r="B21" s="23" t="s">
        <v>19</v>
      </c>
      <c r="C21" s="23" t="s">
        <v>40</v>
      </c>
      <c r="D21" s="20">
        <v>2621</v>
      </c>
      <c r="E21" s="20">
        <v>310000</v>
      </c>
      <c r="F21" s="20">
        <v>340000</v>
      </c>
      <c r="G21" s="20">
        <v>435000</v>
      </c>
      <c r="H21" s="20">
        <v>455000</v>
      </c>
      <c r="I21" s="20">
        <v>405000</v>
      </c>
      <c r="J21" s="20">
        <v>420000</v>
      </c>
      <c r="K21" s="25">
        <v>0</v>
      </c>
      <c r="L21" s="23" t="s">
        <v>38</v>
      </c>
    </row>
    <row r="22" spans="1:12" x14ac:dyDescent="0.25">
      <c r="A22" s="19" t="s">
        <v>44</v>
      </c>
      <c r="B22" s="23" t="s">
        <v>19</v>
      </c>
      <c r="C22" s="23" t="s">
        <v>37</v>
      </c>
      <c r="D22" s="20">
        <v>3828</v>
      </c>
      <c r="E22" s="20">
        <v>180000</v>
      </c>
      <c r="F22" s="20">
        <v>210000</v>
      </c>
      <c r="G22" s="20">
        <v>280000</v>
      </c>
      <c r="H22" s="20">
        <v>300000</v>
      </c>
      <c r="I22" s="20">
        <v>265000</v>
      </c>
      <c r="J22" s="20">
        <v>275000</v>
      </c>
      <c r="K22" s="25">
        <v>0</v>
      </c>
      <c r="L22" s="23" t="s">
        <v>38</v>
      </c>
    </row>
    <row r="23" spans="1:12" x14ac:dyDescent="0.25">
      <c r="A23" s="19" t="s">
        <v>45</v>
      </c>
      <c r="B23" s="23" t="s">
        <v>28</v>
      </c>
      <c r="C23" s="23" t="s">
        <v>37</v>
      </c>
      <c r="D23" s="20">
        <v>5112</v>
      </c>
      <c r="E23" s="20">
        <v>195000</v>
      </c>
      <c r="F23" s="20">
        <v>215000</v>
      </c>
      <c r="G23" s="20">
        <v>275000</v>
      </c>
      <c r="H23" s="20">
        <v>290000</v>
      </c>
      <c r="I23" s="20">
        <v>260000</v>
      </c>
      <c r="J23" s="20">
        <v>270000</v>
      </c>
      <c r="K23" s="25">
        <v>132</v>
      </c>
      <c r="L23" s="23" t="s">
        <v>38</v>
      </c>
    </row>
    <row r="24" spans="1:12" x14ac:dyDescent="0.25">
      <c r="A24" s="19" t="s">
        <v>46</v>
      </c>
      <c r="B24" s="23" t="s">
        <v>28</v>
      </c>
      <c r="C24" s="23" t="s">
        <v>37</v>
      </c>
      <c r="D24" s="20">
        <v>2701</v>
      </c>
      <c r="E24" s="20">
        <v>285000</v>
      </c>
      <c r="F24" s="20">
        <v>310000</v>
      </c>
      <c r="G24" s="20">
        <v>390000</v>
      </c>
      <c r="H24" s="20">
        <v>410000</v>
      </c>
      <c r="I24" s="20">
        <v>365000</v>
      </c>
      <c r="J24" s="20">
        <v>380000</v>
      </c>
      <c r="K24" s="25">
        <v>51</v>
      </c>
      <c r="L24" s="23" t="s">
        <v>38</v>
      </c>
    </row>
    <row r="25" spans="1:12" x14ac:dyDescent="0.25">
      <c r="A25" s="19" t="s">
        <v>47</v>
      </c>
      <c r="B25" s="23" t="s">
        <v>22</v>
      </c>
      <c r="C25" s="23" t="s">
        <v>37</v>
      </c>
      <c r="D25" s="20">
        <v>2479</v>
      </c>
      <c r="E25" s="20">
        <v>310000</v>
      </c>
      <c r="F25" s="20">
        <v>345000</v>
      </c>
      <c r="G25" s="20">
        <v>440000</v>
      </c>
      <c r="H25" s="20">
        <v>460000</v>
      </c>
      <c r="I25" s="20">
        <v>410000</v>
      </c>
      <c r="J25" s="20">
        <v>425000</v>
      </c>
      <c r="K25" s="25">
        <v>26</v>
      </c>
      <c r="L25" s="23" t="s">
        <v>38</v>
      </c>
    </row>
    <row r="26" spans="1:12" x14ac:dyDescent="0.25">
      <c r="A26" s="19" t="s">
        <v>48</v>
      </c>
      <c r="B26" s="23" t="s">
        <v>32</v>
      </c>
      <c r="C26" s="23" t="s">
        <v>37</v>
      </c>
      <c r="D26" s="20">
        <v>1585</v>
      </c>
      <c r="E26" s="20">
        <v>85000</v>
      </c>
      <c r="F26" s="20">
        <v>95000</v>
      </c>
      <c r="G26" s="20">
        <v>125000</v>
      </c>
      <c r="H26" s="20">
        <v>130000</v>
      </c>
      <c r="I26" s="20">
        <v>118000</v>
      </c>
      <c r="J26" s="20">
        <v>122000</v>
      </c>
      <c r="K26" s="25">
        <v>46</v>
      </c>
      <c r="L26" s="23" t="s">
        <v>17</v>
      </c>
    </row>
    <row r="27" spans="1:12" x14ac:dyDescent="0.25">
      <c r="A27" s="19" t="s">
        <v>49</v>
      </c>
      <c r="B27" s="23" t="s">
        <v>32</v>
      </c>
      <c r="C27" s="23" t="s">
        <v>50</v>
      </c>
      <c r="D27" s="20">
        <v>71000</v>
      </c>
      <c r="E27" s="20">
        <v>195000</v>
      </c>
      <c r="F27" s="20">
        <v>215000</v>
      </c>
      <c r="G27" s="20">
        <v>280000</v>
      </c>
      <c r="H27" s="20">
        <v>295000</v>
      </c>
      <c r="I27" s="20">
        <v>265000</v>
      </c>
      <c r="J27" s="20">
        <v>275000</v>
      </c>
      <c r="K27" s="25">
        <v>158</v>
      </c>
      <c r="L27" s="23" t="s">
        <v>17</v>
      </c>
    </row>
    <row r="28" spans="1:12" x14ac:dyDescent="0.25">
      <c r="A28" s="19" t="s">
        <v>51</v>
      </c>
      <c r="B28" s="23" t="s">
        <v>32</v>
      </c>
      <c r="C28" s="23" t="s">
        <v>37</v>
      </c>
      <c r="D28" s="20">
        <v>850</v>
      </c>
      <c r="E28" s="20">
        <v>55000</v>
      </c>
      <c r="F28" s="20">
        <v>62000</v>
      </c>
      <c r="G28" s="20">
        <v>82000</v>
      </c>
      <c r="H28" s="20">
        <v>86000</v>
      </c>
      <c r="I28" s="20">
        <v>78000</v>
      </c>
      <c r="J28" s="20">
        <v>81000</v>
      </c>
      <c r="K28" s="25">
        <v>39</v>
      </c>
      <c r="L28" s="23" t="s">
        <v>17</v>
      </c>
    </row>
    <row r="29" spans="1:12" x14ac:dyDescent="0.25">
      <c r="A29" s="19" t="s">
        <v>52</v>
      </c>
      <c r="B29" s="23" t="s">
        <v>32</v>
      </c>
      <c r="C29" s="23" t="s">
        <v>53</v>
      </c>
      <c r="D29" s="20">
        <v>48</v>
      </c>
      <c r="E29" s="20">
        <v>120000</v>
      </c>
      <c r="F29" s="20">
        <v>135000</v>
      </c>
      <c r="G29" s="20">
        <v>175000</v>
      </c>
      <c r="H29" s="20">
        <v>185000</v>
      </c>
      <c r="I29" s="20">
        <v>165000</v>
      </c>
      <c r="J29" s="20">
        <v>172000</v>
      </c>
      <c r="K29" s="25">
        <v>20</v>
      </c>
      <c r="L29" s="23" t="s">
        <v>38</v>
      </c>
    </row>
    <row r="30" spans="1:12" x14ac:dyDescent="0.25">
      <c r="A30" s="19" t="s">
        <v>54</v>
      </c>
      <c r="B30" s="23" t="s">
        <v>32</v>
      </c>
      <c r="C30" s="23" t="s">
        <v>16</v>
      </c>
      <c r="D30" s="20">
        <v>1305</v>
      </c>
      <c r="E30" s="20">
        <v>180000</v>
      </c>
      <c r="F30" s="20">
        <v>200000</v>
      </c>
      <c r="G30" s="20">
        <v>255000</v>
      </c>
      <c r="H30" s="20">
        <v>268000</v>
      </c>
      <c r="I30" s="20">
        <v>240000</v>
      </c>
      <c r="J30" s="20">
        <v>250000</v>
      </c>
      <c r="K30" s="25">
        <v>47</v>
      </c>
      <c r="L30" s="23" t="s">
        <v>17</v>
      </c>
    </row>
    <row r="31" spans="1:12" x14ac:dyDescent="0.25">
      <c r="A31" s="19" t="s">
        <v>55</v>
      </c>
      <c r="B31" s="23" t="s">
        <v>32</v>
      </c>
      <c r="C31" s="23" t="s">
        <v>16</v>
      </c>
      <c r="D31" s="20">
        <v>580</v>
      </c>
      <c r="E31" s="20">
        <v>165000</v>
      </c>
      <c r="F31" s="20">
        <v>182000</v>
      </c>
      <c r="G31" s="20">
        <v>230000</v>
      </c>
      <c r="H31" s="20">
        <v>242000</v>
      </c>
      <c r="I31" s="20">
        <v>215000</v>
      </c>
      <c r="J31" s="20">
        <v>225000</v>
      </c>
      <c r="K31" s="25">
        <v>25</v>
      </c>
      <c r="L31" s="23" t="s">
        <v>17</v>
      </c>
    </row>
    <row r="32" spans="1:12" x14ac:dyDescent="0.25">
      <c r="A32" s="19" t="s">
        <v>56</v>
      </c>
      <c r="B32" s="23" t="s">
        <v>32</v>
      </c>
      <c r="C32" s="23" t="s">
        <v>16</v>
      </c>
      <c r="D32" s="20">
        <v>900</v>
      </c>
      <c r="E32" s="20">
        <v>120000</v>
      </c>
      <c r="F32" s="20">
        <v>135000</v>
      </c>
      <c r="G32" s="20">
        <v>172000</v>
      </c>
      <c r="H32" s="20">
        <v>180000</v>
      </c>
      <c r="I32" s="20">
        <v>162000</v>
      </c>
      <c r="J32" s="20">
        <v>168000</v>
      </c>
      <c r="K32" s="25">
        <v>109</v>
      </c>
      <c r="L32" s="23" t="s">
        <v>17</v>
      </c>
    </row>
    <row r="33" spans="1:12" x14ac:dyDescent="0.25">
      <c r="A33" s="19" t="s">
        <v>57</v>
      </c>
      <c r="B33" s="23" t="s">
        <v>25</v>
      </c>
      <c r="C33" s="23" t="s">
        <v>16</v>
      </c>
      <c r="D33" s="20">
        <v>1503</v>
      </c>
      <c r="E33" s="20">
        <v>95000</v>
      </c>
      <c r="F33" s="20">
        <v>105000</v>
      </c>
      <c r="G33" s="20">
        <v>135000</v>
      </c>
      <c r="H33" s="20">
        <v>142000</v>
      </c>
      <c r="I33" s="20">
        <v>128000</v>
      </c>
      <c r="J33" s="20">
        <v>133000</v>
      </c>
      <c r="K33" s="25">
        <v>16</v>
      </c>
      <c r="L33" s="23" t="s">
        <v>17</v>
      </c>
    </row>
    <row r="34" spans="1:12" x14ac:dyDescent="0.25">
      <c r="A34" s="19" t="s">
        <v>58</v>
      </c>
      <c r="B34" s="23" t="s">
        <v>25</v>
      </c>
      <c r="C34" s="23" t="s">
        <v>16</v>
      </c>
      <c r="D34" s="20">
        <v>337</v>
      </c>
      <c r="E34" s="20">
        <v>78000</v>
      </c>
      <c r="F34" s="20">
        <v>86000</v>
      </c>
      <c r="G34" s="20">
        <v>110000</v>
      </c>
      <c r="H34" s="20">
        <v>115000</v>
      </c>
      <c r="I34" s="20">
        <v>104000</v>
      </c>
      <c r="J34" s="20">
        <v>108000</v>
      </c>
      <c r="K34" s="25">
        <v>66</v>
      </c>
      <c r="L34" s="23" t="s">
        <v>17</v>
      </c>
    </row>
    <row r="35" spans="1:12" x14ac:dyDescent="0.25">
      <c r="A35" s="19" t="s">
        <v>59</v>
      </c>
      <c r="B35" s="23" t="s">
        <v>25</v>
      </c>
      <c r="C35" s="23" t="s">
        <v>16</v>
      </c>
      <c r="D35" s="20">
        <v>338</v>
      </c>
      <c r="E35" s="20">
        <v>62000</v>
      </c>
      <c r="F35" s="20">
        <v>68000</v>
      </c>
      <c r="G35" s="20">
        <v>88000</v>
      </c>
      <c r="H35" s="20">
        <v>92000</v>
      </c>
      <c r="I35" s="20">
        <v>83000</v>
      </c>
      <c r="J35" s="20">
        <v>86000</v>
      </c>
      <c r="K35" s="25">
        <v>33</v>
      </c>
      <c r="L35" s="23" t="s">
        <v>17</v>
      </c>
    </row>
    <row r="36" spans="1:12" x14ac:dyDescent="0.25">
      <c r="A36" s="19" t="s">
        <v>60</v>
      </c>
      <c r="B36" s="23" t="s">
        <v>25</v>
      </c>
      <c r="C36" s="23" t="s">
        <v>16</v>
      </c>
      <c r="D36" s="20">
        <v>215</v>
      </c>
      <c r="E36" s="20">
        <v>45000</v>
      </c>
      <c r="F36" s="20">
        <v>50000</v>
      </c>
      <c r="G36" s="20">
        <v>64000</v>
      </c>
      <c r="H36" s="20">
        <v>67000</v>
      </c>
      <c r="I36" s="20">
        <v>60000</v>
      </c>
      <c r="J36" s="20">
        <v>63000</v>
      </c>
      <c r="K36" s="25">
        <v>0</v>
      </c>
      <c r="L36" s="23" t="s">
        <v>17</v>
      </c>
    </row>
    <row r="37" spans="1:12" x14ac:dyDescent="0.25">
      <c r="A37" s="19" t="s">
        <v>61</v>
      </c>
      <c r="B37" s="23" t="s">
        <v>22</v>
      </c>
      <c r="C37" s="23" t="s">
        <v>16</v>
      </c>
      <c r="D37" s="20">
        <v>3028</v>
      </c>
      <c r="E37" s="20">
        <v>110000</v>
      </c>
      <c r="F37" s="20">
        <v>120000</v>
      </c>
      <c r="G37" s="20">
        <v>152000</v>
      </c>
      <c r="H37" s="20">
        <v>160000</v>
      </c>
      <c r="I37" s="20">
        <v>142000</v>
      </c>
      <c r="J37" s="20">
        <v>148000</v>
      </c>
      <c r="K37" s="25">
        <v>141</v>
      </c>
      <c r="L37" s="23" t="s">
        <v>17</v>
      </c>
    </row>
    <row r="38" spans="1:12" x14ac:dyDescent="0.25">
      <c r="A38" s="19" t="s">
        <v>62</v>
      </c>
      <c r="B38" s="23" t="s">
        <v>22</v>
      </c>
      <c r="C38" s="23" t="s">
        <v>63</v>
      </c>
      <c r="D38" s="20">
        <v>4800</v>
      </c>
      <c r="E38" s="20">
        <v>42000</v>
      </c>
      <c r="F38" s="20">
        <v>46000</v>
      </c>
      <c r="G38" s="20">
        <v>58000</v>
      </c>
      <c r="H38" s="20">
        <v>62000</v>
      </c>
      <c r="I38" s="20">
        <v>55000</v>
      </c>
      <c r="J38" s="20">
        <v>57000</v>
      </c>
      <c r="K38" s="25">
        <v>0</v>
      </c>
      <c r="L38" s="23" t="s">
        <v>38</v>
      </c>
    </row>
    <row r="39" spans="1:12" x14ac:dyDescent="0.25">
      <c r="A39" s="19" t="s">
        <v>64</v>
      </c>
      <c r="B39" s="23" t="s">
        <v>15</v>
      </c>
      <c r="C39" s="23" t="s">
        <v>16</v>
      </c>
      <c r="D39" s="20">
        <v>13000</v>
      </c>
      <c r="E39" s="20">
        <v>85000</v>
      </c>
      <c r="F39" s="20">
        <v>94000</v>
      </c>
      <c r="G39" s="20">
        <v>120000</v>
      </c>
      <c r="H39" s="20">
        <v>126000</v>
      </c>
      <c r="I39" s="20">
        <v>113000</v>
      </c>
      <c r="J39" s="20">
        <v>118000</v>
      </c>
      <c r="K39" s="25">
        <v>213</v>
      </c>
      <c r="L39" s="23" t="s">
        <v>17</v>
      </c>
    </row>
    <row r="40" spans="1:12" x14ac:dyDescent="0.25">
      <c r="A40" s="19" t="s">
        <v>65</v>
      </c>
      <c r="B40" s="23" t="s">
        <v>28</v>
      </c>
      <c r="C40" s="23" t="s">
        <v>66</v>
      </c>
      <c r="D40" s="20">
        <v>6500</v>
      </c>
      <c r="E40" s="20">
        <v>520000</v>
      </c>
      <c r="F40" s="20">
        <v>570000</v>
      </c>
      <c r="G40" s="20">
        <v>720000</v>
      </c>
      <c r="H40" s="20">
        <v>755000</v>
      </c>
      <c r="I40" s="20">
        <v>675000</v>
      </c>
      <c r="J40" s="20">
        <v>700000</v>
      </c>
      <c r="K40" s="25">
        <v>0</v>
      </c>
      <c r="L40" s="23" t="s">
        <v>17</v>
      </c>
    </row>
    <row r="41" spans="1:12" x14ac:dyDescent="0.25">
      <c r="A41" s="19" t="s">
        <v>67</v>
      </c>
      <c r="B41" s="23" t="s">
        <v>32</v>
      </c>
      <c r="C41" s="23" t="s">
        <v>66</v>
      </c>
      <c r="D41" s="20">
        <v>287</v>
      </c>
      <c r="E41" s="20">
        <v>65000</v>
      </c>
      <c r="F41" s="20">
        <v>72000</v>
      </c>
      <c r="G41" s="20">
        <v>92000</v>
      </c>
      <c r="H41" s="20">
        <v>96000</v>
      </c>
      <c r="I41" s="20">
        <v>86000</v>
      </c>
      <c r="J41" s="20">
        <v>90000</v>
      </c>
      <c r="K41" s="25">
        <v>0</v>
      </c>
      <c r="L41" s="23" t="s">
        <v>17</v>
      </c>
    </row>
    <row r="42" spans="1:12" x14ac:dyDescent="0.25">
      <c r="A42" s="19" t="s">
        <v>68</v>
      </c>
      <c r="B42" s="23" t="s">
        <v>28</v>
      </c>
      <c r="C42" s="23" t="s">
        <v>35</v>
      </c>
      <c r="D42" s="20">
        <v>400</v>
      </c>
      <c r="E42" s="20">
        <v>38000</v>
      </c>
      <c r="F42" s="20">
        <v>42000</v>
      </c>
      <c r="G42" s="20">
        <v>53000</v>
      </c>
      <c r="H42" s="20">
        <v>56000</v>
      </c>
      <c r="I42" s="20">
        <v>50000</v>
      </c>
      <c r="J42" s="20">
        <v>52000</v>
      </c>
      <c r="K42" s="25">
        <v>0</v>
      </c>
      <c r="L42" s="23" t="s">
        <v>38</v>
      </c>
    </row>
    <row r="43" spans="1:12" x14ac:dyDescent="0.25">
      <c r="A43" s="19" t="s">
        <v>69</v>
      </c>
      <c r="B43" s="23" t="s">
        <v>25</v>
      </c>
      <c r="C43" s="23" t="s">
        <v>66</v>
      </c>
      <c r="D43" s="20">
        <v>600</v>
      </c>
      <c r="E43" s="20">
        <v>125000</v>
      </c>
      <c r="F43" s="20">
        <v>138000</v>
      </c>
      <c r="G43" s="20">
        <v>175000</v>
      </c>
      <c r="H43" s="20">
        <v>184000</v>
      </c>
      <c r="I43" s="20">
        <v>165000</v>
      </c>
      <c r="J43" s="20">
        <v>172000</v>
      </c>
      <c r="K43" s="25">
        <v>0</v>
      </c>
      <c r="L43" s="23" t="s">
        <v>17</v>
      </c>
    </row>
    <row r="44" spans="1:12" x14ac:dyDescent="0.25">
      <c r="A44" s="19" t="s">
        <v>70</v>
      </c>
      <c r="B44" s="23" t="s">
        <v>22</v>
      </c>
      <c r="C44" s="23" t="s">
        <v>66</v>
      </c>
      <c r="D44" s="20">
        <v>604</v>
      </c>
      <c r="E44" s="20">
        <v>290000</v>
      </c>
      <c r="F44" s="20">
        <v>320000</v>
      </c>
      <c r="G44" s="20">
        <v>405000</v>
      </c>
      <c r="H44" s="20">
        <v>425000</v>
      </c>
      <c r="I44" s="20">
        <v>380000</v>
      </c>
      <c r="J44" s="20">
        <v>395000</v>
      </c>
      <c r="K44" s="25">
        <v>87</v>
      </c>
      <c r="L44" s="23" t="s">
        <v>17</v>
      </c>
    </row>
    <row r="45" spans="1:12" x14ac:dyDescent="0.25">
      <c r="A45" s="19" t="s">
        <v>71</v>
      </c>
      <c r="B45" s="23" t="s">
        <v>15</v>
      </c>
      <c r="C45" s="23" t="s">
        <v>37</v>
      </c>
      <c r="D45" s="20">
        <v>19200</v>
      </c>
      <c r="E45" s="20">
        <v>0</v>
      </c>
      <c r="F45" s="20">
        <v>0</v>
      </c>
      <c r="G45" s="20">
        <v>0</v>
      </c>
      <c r="H45" s="20">
        <v>224</v>
      </c>
      <c r="I45" s="20">
        <v>5958</v>
      </c>
      <c r="J45" s="20">
        <v>12000</v>
      </c>
      <c r="K45" s="25">
        <v>0</v>
      </c>
      <c r="L45" s="23" t="s">
        <v>38</v>
      </c>
    </row>
    <row r="46" spans="1:12" x14ac:dyDescent="0.25">
      <c r="A46" s="19" t="s">
        <v>72</v>
      </c>
      <c r="B46" s="23" t="s">
        <v>32</v>
      </c>
      <c r="C46" s="23" t="s">
        <v>37</v>
      </c>
      <c r="D46" s="20">
        <v>486</v>
      </c>
      <c r="E46" s="20">
        <v>0</v>
      </c>
      <c r="F46" s="20">
        <v>0</v>
      </c>
      <c r="G46" s="20">
        <v>0</v>
      </c>
      <c r="H46" s="20">
        <v>0</v>
      </c>
      <c r="I46" s="20">
        <v>15000</v>
      </c>
      <c r="J46" s="20">
        <v>35000</v>
      </c>
      <c r="K46" s="25">
        <v>0</v>
      </c>
      <c r="L46" s="23" t="s">
        <v>17</v>
      </c>
    </row>
    <row r="47" spans="1:12" x14ac:dyDescent="0.25">
      <c r="A47" s="9" t="s">
        <v>73</v>
      </c>
      <c r="E47" s="10">
        <f t="shared" ref="E47:K47" si="0">SUM(E5:E46)</f>
        <v>15395000</v>
      </c>
      <c r="F47" s="10">
        <f t="shared" si="0"/>
        <v>16800000</v>
      </c>
      <c r="G47" s="10">
        <f t="shared" si="0"/>
        <v>20219000</v>
      </c>
      <c r="H47" s="10">
        <f t="shared" si="0"/>
        <v>21001224</v>
      </c>
      <c r="I47" s="10">
        <f t="shared" si="0"/>
        <v>18189958</v>
      </c>
      <c r="J47" s="10">
        <f t="shared" si="0"/>
        <v>18977000</v>
      </c>
      <c r="K47" s="11">
        <f t="shared" si="0"/>
        <v>3647</v>
      </c>
    </row>
  </sheetData>
  <autoFilter ref="A4:L46" xr:uid="{00000000-0009-0000-0000-000000000000}"/>
  <mergeCells count="2">
    <mergeCell ref="A1:L1"/>
    <mergeCell ref="A2:L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D6A4F"/>
  </sheetPr>
  <dimension ref="A1:G35"/>
  <sheetViews>
    <sheetView topLeftCell="A11" zoomScaleNormal="100" workbookViewId="0">
      <selection activeCell="H26" sqref="H26"/>
    </sheetView>
  </sheetViews>
  <sheetFormatPr defaultColWidth="8.7109375" defaultRowHeight="15" x14ac:dyDescent="0.25"/>
  <cols>
    <col min="1" max="1" width="18" customWidth="1"/>
    <col min="2" max="7" width="14" customWidth="1"/>
  </cols>
  <sheetData>
    <row r="1" spans="1:7" ht="36" customHeight="1" x14ac:dyDescent="0.3">
      <c r="A1" s="5" t="s">
        <v>74</v>
      </c>
      <c r="B1" s="5"/>
      <c r="C1" s="5"/>
      <c r="D1" s="5"/>
      <c r="E1" s="5"/>
      <c r="F1" s="5"/>
      <c r="G1" s="5"/>
    </row>
    <row r="3" spans="1:7" ht="24" customHeight="1" x14ac:dyDescent="0.25">
      <c r="A3" s="4" t="s">
        <v>75</v>
      </c>
      <c r="B3" s="4"/>
      <c r="C3" s="4"/>
      <c r="D3" s="4"/>
      <c r="E3" s="4"/>
      <c r="F3" s="4"/>
      <c r="G3" s="4"/>
    </row>
    <row r="4" spans="1:7" x14ac:dyDescent="0.25">
      <c r="A4" s="8" t="s">
        <v>3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spans="1:7" x14ac:dyDescent="0.25">
      <c r="A5" s="19" t="s">
        <v>28</v>
      </c>
      <c r="B5" s="20">
        <f>SUMIFS('Park Data'!E5:E46,'Park Data'!B5:B46,A5)</f>
        <v>1453000</v>
      </c>
      <c r="C5" s="20">
        <f>SUMIFS('Park Data'!F5:F46,'Park Data'!B5:B46,A5)</f>
        <v>1592000</v>
      </c>
      <c r="D5" s="20">
        <f>SUMIFS('Park Data'!G5:G46,'Park Data'!B5:B46,A5)</f>
        <v>2013000</v>
      </c>
      <c r="E5" s="20">
        <f>SUMIFS('Park Data'!H5:H46,'Park Data'!B5:B46,A5)</f>
        <v>2111000</v>
      </c>
      <c r="F5" s="20">
        <f>SUMIFS('Park Data'!I5:I46,'Park Data'!B5:B46,A5)</f>
        <v>1885000</v>
      </c>
      <c r="G5" s="20">
        <f>SUMIFS('Park Data'!J5:J46,'Park Data'!B5:B46,A5)</f>
        <v>1957000</v>
      </c>
    </row>
    <row r="6" spans="1:7" x14ac:dyDescent="0.25">
      <c r="A6" s="19" t="s">
        <v>19</v>
      </c>
      <c r="B6" s="20">
        <f>SUMIFS('Park Data'!E5:E46,'Park Data'!B5:B46,A6)</f>
        <v>5630000</v>
      </c>
      <c r="C6" s="20">
        <f>SUMIFS('Park Data'!F5:F46,'Park Data'!B5:B46,A6)</f>
        <v>6050000</v>
      </c>
      <c r="D6" s="20">
        <f>SUMIFS('Park Data'!G5:G46,'Park Data'!B5:B46,A6)</f>
        <v>7480000</v>
      </c>
      <c r="E6" s="20">
        <f>SUMIFS('Park Data'!H5:H46,'Park Data'!B5:B46,A6)</f>
        <v>7775000</v>
      </c>
      <c r="F6" s="20">
        <f>SUMIFS('Park Data'!I5:I46,'Park Data'!B5:B46,A6)</f>
        <v>6865000</v>
      </c>
      <c r="G6" s="20">
        <f>SUMIFS('Park Data'!J5:J46,'Park Data'!B5:B46,A6)</f>
        <v>7170000</v>
      </c>
    </row>
    <row r="7" spans="1:7" x14ac:dyDescent="0.25">
      <c r="A7" s="19" t="s">
        <v>22</v>
      </c>
      <c r="B7" s="20">
        <f>SUMIFS('Park Data'!E5:E46,'Park Data'!B5:B46,A7)</f>
        <v>1682000</v>
      </c>
      <c r="C7" s="20">
        <f>SUMIFS('Park Data'!F5:F46,'Park Data'!B5:B46,A7)</f>
        <v>1851000</v>
      </c>
      <c r="D7" s="20">
        <f>SUMIFS('Park Data'!G5:G46,'Park Data'!B5:B46,A7)</f>
        <v>2335000</v>
      </c>
      <c r="E7" s="20">
        <f>SUMIFS('Park Data'!H5:H46,'Park Data'!B5:B46,A7)</f>
        <v>2437000</v>
      </c>
      <c r="F7" s="20">
        <f>SUMIFS('Park Data'!I5:I46,'Park Data'!B5:B46,A7)</f>
        <v>2167000</v>
      </c>
      <c r="G7" s="20">
        <f>SUMIFS('Park Data'!J5:J46,'Park Data'!B5:B46,A7)</f>
        <v>2250000</v>
      </c>
    </row>
    <row r="8" spans="1:7" x14ac:dyDescent="0.25">
      <c r="A8" s="19" t="s">
        <v>32</v>
      </c>
      <c r="B8" s="20">
        <f>SUMIFS('Park Data'!E5:E46,'Park Data'!B5:B46,A8)</f>
        <v>1300000</v>
      </c>
      <c r="C8" s="20">
        <f>SUMIFS('Park Data'!F5:F46,'Park Data'!B5:B46,A8)</f>
        <v>1441000</v>
      </c>
      <c r="D8" s="20">
        <f>SUMIFS('Park Data'!G5:G46,'Park Data'!B5:B46,A8)</f>
        <v>1854000</v>
      </c>
      <c r="E8" s="20">
        <f>SUMIFS('Park Data'!H5:H46,'Park Data'!B5:B46,A8)</f>
        <v>1947000</v>
      </c>
      <c r="F8" s="20">
        <f>SUMIFS('Park Data'!I5:I46,'Park Data'!B5:B46,A8)</f>
        <v>1844000</v>
      </c>
      <c r="G8" s="20">
        <f>SUMIFS('Park Data'!J5:J46,'Park Data'!B5:B46,A8)</f>
        <v>1938000</v>
      </c>
    </row>
    <row r="9" spans="1:7" x14ac:dyDescent="0.25">
      <c r="A9" s="19" t="s">
        <v>15</v>
      </c>
      <c r="B9" s="20">
        <f>SUMIFS('Park Data'!E5:E46,'Park Data'!B5:B46,A9)</f>
        <v>4065000</v>
      </c>
      <c r="C9" s="20">
        <f>SUMIFS('Park Data'!F5:F46,'Park Data'!B5:B46,A9)</f>
        <v>4489000</v>
      </c>
      <c r="D9" s="20">
        <f>SUMIFS('Park Data'!G5:G46,'Park Data'!B5:B46,A9)</f>
        <v>4865000</v>
      </c>
      <c r="E9" s="20">
        <f>SUMIFS('Park Data'!H5:H46,'Park Data'!B5:B46,A9)</f>
        <v>4981224</v>
      </c>
      <c r="F9" s="20">
        <f>SUMIFS('Park Data'!I5:I46,'Park Data'!B5:B46,A9)</f>
        <v>3848958</v>
      </c>
      <c r="G9" s="20">
        <f>SUMIFS('Park Data'!J5:J46,'Park Data'!B5:B46,A9)</f>
        <v>4020000</v>
      </c>
    </row>
    <row r="10" spans="1:7" x14ac:dyDescent="0.25">
      <c r="A10" s="19" t="s">
        <v>25</v>
      </c>
      <c r="B10" s="20">
        <f>SUMIFS('Park Data'!E5:E46,'Park Data'!B5:B46,A10)</f>
        <v>1265000</v>
      </c>
      <c r="C10" s="20">
        <f>SUMIFS('Park Data'!F5:F46,'Park Data'!B5:B46,A10)</f>
        <v>1377000</v>
      </c>
      <c r="D10" s="20">
        <f>SUMIFS('Park Data'!G5:G46,'Park Data'!B5:B46,A10)</f>
        <v>1672000</v>
      </c>
      <c r="E10" s="20">
        <f>SUMIFS('Park Data'!H5:H46,'Park Data'!B5:B46,A10)</f>
        <v>1750000</v>
      </c>
      <c r="F10" s="20">
        <f>SUMIFS('Park Data'!I5:I46,'Park Data'!B5:B46,A10)</f>
        <v>1580000</v>
      </c>
      <c r="G10" s="20">
        <f>SUMIFS('Park Data'!J5:J46,'Park Data'!B5:B46,A10)</f>
        <v>1642000</v>
      </c>
    </row>
    <row r="11" spans="1:7" x14ac:dyDescent="0.25">
      <c r="A11" s="12" t="s">
        <v>76</v>
      </c>
      <c r="B11" s="10">
        <f t="shared" ref="B11:G11" si="0">SUM(B5:B10)</f>
        <v>15395000</v>
      </c>
      <c r="C11" s="10">
        <f t="shared" si="0"/>
        <v>16800000</v>
      </c>
      <c r="D11" s="10">
        <f t="shared" si="0"/>
        <v>20219000</v>
      </c>
      <c r="E11" s="10">
        <f t="shared" si="0"/>
        <v>21001224</v>
      </c>
      <c r="F11" s="10">
        <f t="shared" si="0"/>
        <v>18189958</v>
      </c>
      <c r="G11" s="10">
        <f t="shared" si="0"/>
        <v>18977000</v>
      </c>
    </row>
    <row r="14" spans="1:7" ht="15.75" x14ac:dyDescent="0.25">
      <c r="A14" s="4" t="s">
        <v>77</v>
      </c>
      <c r="B14" s="4"/>
      <c r="C14" s="4"/>
      <c r="D14" s="4"/>
    </row>
    <row r="15" spans="1:7" x14ac:dyDescent="0.25">
      <c r="A15" s="8" t="s">
        <v>78</v>
      </c>
      <c r="B15" s="8" t="s">
        <v>2</v>
      </c>
      <c r="C15" s="8" t="s">
        <v>79</v>
      </c>
      <c r="D15" s="8" t="s">
        <v>80</v>
      </c>
    </row>
    <row r="16" spans="1:7" x14ac:dyDescent="0.25">
      <c r="A16" s="23">
        <v>1</v>
      </c>
      <c r="B16" s="19" t="s">
        <v>14</v>
      </c>
      <c r="C16" s="20">
        <v>3650000</v>
      </c>
      <c r="D16" s="22">
        <f>C16/'Park Data'!J47</f>
        <v>0.19233809348158296</v>
      </c>
    </row>
    <row r="17" spans="1:6" x14ac:dyDescent="0.25">
      <c r="A17" s="23">
        <v>2</v>
      </c>
      <c r="B17" s="19" t="s">
        <v>18</v>
      </c>
      <c r="C17" s="20">
        <v>2200000</v>
      </c>
      <c r="D17" s="22">
        <f>C17/'Park Data'!J47</f>
        <v>0.11592980976972124</v>
      </c>
    </row>
    <row r="18" spans="1:6" x14ac:dyDescent="0.25">
      <c r="A18" s="23">
        <v>3</v>
      </c>
      <c r="B18" s="19" t="s">
        <v>20</v>
      </c>
      <c r="C18" s="20">
        <v>2150000</v>
      </c>
      <c r="D18" s="22">
        <f>C18/'Park Data'!J47</f>
        <v>0.11329504136586394</v>
      </c>
    </row>
    <row r="19" spans="1:6" x14ac:dyDescent="0.25">
      <c r="A19" s="23">
        <v>4</v>
      </c>
      <c r="B19" s="19" t="s">
        <v>21</v>
      </c>
      <c r="C19" s="20">
        <v>810000</v>
      </c>
      <c r="D19" s="22">
        <f>C19/'Park Data'!J47</f>
        <v>4.2683248142488278E-2</v>
      </c>
    </row>
    <row r="20" spans="1:6" ht="30" x14ac:dyDescent="0.25">
      <c r="A20" s="23">
        <v>5</v>
      </c>
      <c r="B20" s="19" t="s">
        <v>36</v>
      </c>
      <c r="C20" s="20">
        <v>810000</v>
      </c>
      <c r="D20" s="22">
        <f>C20/'Park Data'!J47</f>
        <v>4.2683248142488278E-2</v>
      </c>
    </row>
    <row r="21" spans="1:6" ht="30" x14ac:dyDescent="0.25">
      <c r="A21" s="23">
        <v>6</v>
      </c>
      <c r="B21" s="19" t="s">
        <v>65</v>
      </c>
      <c r="C21" s="20">
        <v>700000</v>
      </c>
      <c r="D21" s="22">
        <f>C21/'Park Data'!J47</f>
        <v>3.6886757654002213E-2</v>
      </c>
    </row>
    <row r="22" spans="1:6" x14ac:dyDescent="0.25">
      <c r="A22" s="23">
        <v>7</v>
      </c>
      <c r="B22" s="19" t="s">
        <v>24</v>
      </c>
      <c r="C22" s="20">
        <v>695000</v>
      </c>
      <c r="D22" s="22">
        <f>C22/'Park Data'!J47</f>
        <v>3.6623280813616481E-2</v>
      </c>
    </row>
    <row r="23" spans="1:6" ht="30" x14ac:dyDescent="0.25">
      <c r="A23" s="23">
        <v>8</v>
      </c>
      <c r="B23" s="19" t="s">
        <v>39</v>
      </c>
      <c r="C23" s="20">
        <v>530000</v>
      </c>
      <c r="D23" s="22">
        <f>C23/'Park Data'!J47</f>
        <v>2.792854508088739E-2</v>
      </c>
    </row>
    <row r="24" spans="1:6" x14ac:dyDescent="0.25">
      <c r="A24" s="23">
        <v>9</v>
      </c>
      <c r="B24" s="19" t="s">
        <v>27</v>
      </c>
      <c r="C24" s="20">
        <v>425000</v>
      </c>
      <c r="D24" s="22">
        <f>C24/'Park Data'!J47</f>
        <v>2.2395531432787059E-2</v>
      </c>
    </row>
    <row r="25" spans="1:6" x14ac:dyDescent="0.25">
      <c r="A25" s="23">
        <v>10</v>
      </c>
      <c r="B25" s="19" t="s">
        <v>47</v>
      </c>
      <c r="C25" s="20">
        <v>425000</v>
      </c>
      <c r="D25" s="22">
        <f>C25/'Park Data'!J47</f>
        <v>2.2395531432787059E-2</v>
      </c>
    </row>
    <row r="28" spans="1:6" ht="15.75" x14ac:dyDescent="0.25">
      <c r="A28" s="4" t="s">
        <v>81</v>
      </c>
      <c r="B28" s="4"/>
      <c r="C28" s="4"/>
      <c r="D28" s="4"/>
      <c r="E28" s="4"/>
      <c r="F28" s="4"/>
    </row>
    <row r="29" spans="1:6" x14ac:dyDescent="0.25">
      <c r="A29" s="8" t="s">
        <v>3</v>
      </c>
      <c r="B29" s="8" t="s">
        <v>82</v>
      </c>
      <c r="C29" s="8" t="s">
        <v>83</v>
      </c>
      <c r="D29" s="8" t="s">
        <v>84</v>
      </c>
      <c r="E29" s="8" t="s">
        <v>85</v>
      </c>
      <c r="F29" s="8" t="s">
        <v>86</v>
      </c>
    </row>
    <row r="30" spans="1:6" x14ac:dyDescent="0.25">
      <c r="A30" s="26" t="s">
        <v>28</v>
      </c>
      <c r="B30" s="22">
        <f t="shared" ref="B30:F35" si="1">(C5-B5)/B5</f>
        <v>9.5664143152099104E-2</v>
      </c>
      <c r="C30" s="22">
        <f t="shared" si="1"/>
        <v>0.26444723618090454</v>
      </c>
      <c r="D30" s="22">
        <f t="shared" si="1"/>
        <v>4.8683556880278193E-2</v>
      </c>
      <c r="E30" s="22">
        <f t="shared" si="1"/>
        <v>-0.10705826622453814</v>
      </c>
      <c r="F30" s="22">
        <f t="shared" si="1"/>
        <v>3.8196286472148538E-2</v>
      </c>
    </row>
    <row r="31" spans="1:6" x14ac:dyDescent="0.25">
      <c r="A31" s="26" t="s">
        <v>19</v>
      </c>
      <c r="B31" s="22">
        <f t="shared" si="1"/>
        <v>7.460035523978685E-2</v>
      </c>
      <c r="C31" s="22">
        <f t="shared" si="1"/>
        <v>0.23636363636363636</v>
      </c>
      <c r="D31" s="22">
        <f t="shared" si="1"/>
        <v>3.9438502673796789E-2</v>
      </c>
      <c r="E31" s="22">
        <f t="shared" si="1"/>
        <v>-0.11704180064308682</v>
      </c>
      <c r="F31" s="22">
        <f t="shared" si="1"/>
        <v>4.442825928623452E-2</v>
      </c>
    </row>
    <row r="32" spans="1:6" x14ac:dyDescent="0.25">
      <c r="A32" s="26" t="s">
        <v>22</v>
      </c>
      <c r="B32" s="22">
        <f t="shared" si="1"/>
        <v>0.10047562425683709</v>
      </c>
      <c r="C32" s="22">
        <f t="shared" si="1"/>
        <v>0.26148028092922743</v>
      </c>
      <c r="D32" s="22">
        <f t="shared" si="1"/>
        <v>4.3683083511777299E-2</v>
      </c>
      <c r="E32" s="22">
        <f t="shared" si="1"/>
        <v>-0.1107919573245794</v>
      </c>
      <c r="F32" s="22">
        <f t="shared" si="1"/>
        <v>3.830179972311952E-2</v>
      </c>
    </row>
    <row r="33" spans="1:6" x14ac:dyDescent="0.25">
      <c r="A33" s="26" t="s">
        <v>32</v>
      </c>
      <c r="B33" s="22">
        <f t="shared" si="1"/>
        <v>0.10846153846153846</v>
      </c>
      <c r="C33" s="22">
        <f t="shared" si="1"/>
        <v>0.2866065232477446</v>
      </c>
      <c r="D33" s="22">
        <f t="shared" si="1"/>
        <v>5.0161812297734629E-2</v>
      </c>
      <c r="E33" s="22">
        <f t="shared" si="1"/>
        <v>-5.2901900359527479E-2</v>
      </c>
      <c r="F33" s="22">
        <f t="shared" si="1"/>
        <v>5.0976138828633402E-2</v>
      </c>
    </row>
    <row r="34" spans="1:6" x14ac:dyDescent="0.25">
      <c r="A34" s="26" t="s">
        <v>15</v>
      </c>
      <c r="B34" s="22">
        <f t="shared" si="1"/>
        <v>0.10430504305043051</v>
      </c>
      <c r="C34" s="22">
        <f t="shared" si="1"/>
        <v>8.3760302962797947E-2</v>
      </c>
      <c r="D34" s="22">
        <f t="shared" si="1"/>
        <v>2.3889825282631037E-2</v>
      </c>
      <c r="E34" s="22">
        <f t="shared" si="1"/>
        <v>-0.2273067824293788</v>
      </c>
      <c r="F34" s="22">
        <f t="shared" si="1"/>
        <v>4.4438520763281905E-2</v>
      </c>
    </row>
    <row r="35" spans="1:6" x14ac:dyDescent="0.25">
      <c r="A35" s="26" t="s">
        <v>25</v>
      </c>
      <c r="B35" s="22">
        <f t="shared" si="1"/>
        <v>8.8537549407114627E-2</v>
      </c>
      <c r="C35" s="22">
        <f t="shared" si="1"/>
        <v>0.21423384168482207</v>
      </c>
      <c r="D35" s="22">
        <f t="shared" si="1"/>
        <v>4.6650717703349283E-2</v>
      </c>
      <c r="E35" s="22">
        <f t="shared" si="1"/>
        <v>-9.7142857142857142E-2</v>
      </c>
      <c r="F35" s="22">
        <f t="shared" si="1"/>
        <v>3.9240506329113925E-2</v>
      </c>
    </row>
  </sheetData>
  <mergeCells count="4">
    <mergeCell ref="A1:G1"/>
    <mergeCell ref="A3:G3"/>
    <mergeCell ref="A14:D14"/>
    <mergeCell ref="A28:F28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0916C"/>
  </sheetPr>
  <dimension ref="A1:P38"/>
  <sheetViews>
    <sheetView zoomScaleNormal="100" workbookViewId="0">
      <selection activeCell="B11" sqref="B11"/>
    </sheetView>
  </sheetViews>
  <sheetFormatPr defaultColWidth="8.7109375" defaultRowHeight="15" x14ac:dyDescent="0.25"/>
  <cols>
    <col min="1" max="1" width="20" customWidth="1"/>
    <col min="2" max="2" width="16" customWidth="1"/>
  </cols>
  <sheetData>
    <row r="1" spans="1:16" ht="39.75" customHeight="1" x14ac:dyDescent="0.3">
      <c r="A1" s="5" t="s">
        <v>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3" spans="1:16" x14ac:dyDescent="0.25">
      <c r="A3" s="13" t="s">
        <v>88</v>
      </c>
      <c r="B3" s="13" t="s">
        <v>89</v>
      </c>
    </row>
    <row r="4" spans="1:16" x14ac:dyDescent="0.25">
      <c r="A4" s="14" t="s">
        <v>6</v>
      </c>
      <c r="B4" s="15">
        <f>'Park Data'!E47</f>
        <v>15395000</v>
      </c>
    </row>
    <row r="5" spans="1:16" x14ac:dyDescent="0.25">
      <c r="A5" s="14" t="s">
        <v>7</v>
      </c>
      <c r="B5" s="15">
        <f>'Park Data'!F47</f>
        <v>16800000</v>
      </c>
    </row>
    <row r="6" spans="1:16" x14ac:dyDescent="0.25">
      <c r="A6" s="14" t="s">
        <v>8</v>
      </c>
      <c r="B6" s="15">
        <f>'Park Data'!G47</f>
        <v>20219000</v>
      </c>
    </row>
    <row r="7" spans="1:16" x14ac:dyDescent="0.25">
      <c r="A7" s="14" t="s">
        <v>9</v>
      </c>
      <c r="B7" s="15">
        <f>'Park Data'!H47</f>
        <v>21001224</v>
      </c>
    </row>
    <row r="8" spans="1:16" x14ac:dyDescent="0.25">
      <c r="A8" s="14" t="s">
        <v>10</v>
      </c>
      <c r="B8" s="15">
        <f>'Park Data'!I47</f>
        <v>18189958</v>
      </c>
    </row>
    <row r="9" spans="1:16" x14ac:dyDescent="0.25">
      <c r="A9" s="14" t="s">
        <v>11</v>
      </c>
      <c r="B9" s="15">
        <f>'Park Data'!J47</f>
        <v>18977000</v>
      </c>
    </row>
    <row r="12" spans="1:16" x14ac:dyDescent="0.25">
      <c r="A12" s="13" t="s">
        <v>3</v>
      </c>
      <c r="B12" s="13" t="s">
        <v>79</v>
      </c>
    </row>
    <row r="13" spans="1:16" x14ac:dyDescent="0.25">
      <c r="A13" s="14" t="s">
        <v>28</v>
      </c>
      <c r="B13" s="15">
        <f>'Pivot Analysis'!G5</f>
        <v>1957000</v>
      </c>
    </row>
    <row r="14" spans="1:16" x14ac:dyDescent="0.25">
      <c r="A14" s="14" t="s">
        <v>19</v>
      </c>
      <c r="B14" s="15">
        <f>'Pivot Analysis'!G6</f>
        <v>7170000</v>
      </c>
    </row>
    <row r="15" spans="1:16" x14ac:dyDescent="0.25">
      <c r="A15" s="14" t="s">
        <v>22</v>
      </c>
      <c r="B15" s="15">
        <f>'Pivot Analysis'!G7</f>
        <v>2250000</v>
      </c>
    </row>
    <row r="16" spans="1:16" x14ac:dyDescent="0.25">
      <c r="A16" s="14" t="s">
        <v>32</v>
      </c>
      <c r="B16" s="15">
        <f>'Pivot Analysis'!G8</f>
        <v>1938000</v>
      </c>
    </row>
    <row r="17" spans="1:2" x14ac:dyDescent="0.25">
      <c r="A17" s="14" t="s">
        <v>15</v>
      </c>
      <c r="B17" s="15">
        <f>'Pivot Analysis'!G9</f>
        <v>4020000</v>
      </c>
    </row>
    <row r="18" spans="1:2" x14ac:dyDescent="0.25">
      <c r="A18" s="14" t="s">
        <v>25</v>
      </c>
      <c r="B18" s="15">
        <f>'Pivot Analysis'!G10</f>
        <v>1642000</v>
      </c>
    </row>
    <row r="21" spans="1:2" x14ac:dyDescent="0.25">
      <c r="A21" s="13" t="s">
        <v>4</v>
      </c>
      <c r="B21" s="13" t="s">
        <v>90</v>
      </c>
    </row>
    <row r="22" spans="1:2" x14ac:dyDescent="0.25">
      <c r="A22" s="14" t="s">
        <v>16</v>
      </c>
      <c r="B22" s="14">
        <v>21</v>
      </c>
    </row>
    <row r="23" spans="1:2" x14ac:dyDescent="0.25">
      <c r="A23" s="14" t="s">
        <v>37</v>
      </c>
      <c r="B23" s="14">
        <v>9</v>
      </c>
    </row>
    <row r="24" spans="1:2" x14ac:dyDescent="0.25">
      <c r="A24" s="14" t="s">
        <v>66</v>
      </c>
      <c r="B24" s="14">
        <v>4</v>
      </c>
    </row>
    <row r="25" spans="1:2" x14ac:dyDescent="0.25">
      <c r="A25" s="14" t="s">
        <v>35</v>
      </c>
      <c r="B25" s="14">
        <v>2</v>
      </c>
    </row>
    <row r="26" spans="1:2" x14ac:dyDescent="0.25">
      <c r="A26" s="14" t="s">
        <v>40</v>
      </c>
      <c r="B26" s="14">
        <v>2</v>
      </c>
    </row>
    <row r="27" spans="1:2" x14ac:dyDescent="0.25">
      <c r="A27" s="14" t="s">
        <v>42</v>
      </c>
      <c r="B27" s="14">
        <v>1</v>
      </c>
    </row>
    <row r="28" spans="1:2" x14ac:dyDescent="0.25">
      <c r="A28" s="14" t="s">
        <v>50</v>
      </c>
      <c r="B28" s="14">
        <v>1</v>
      </c>
    </row>
    <row r="29" spans="1:2" x14ac:dyDescent="0.25">
      <c r="A29" s="14" t="s">
        <v>53</v>
      </c>
      <c r="B29" s="14">
        <v>1</v>
      </c>
    </row>
    <row r="30" spans="1:2" x14ac:dyDescent="0.25">
      <c r="A30" s="14" t="s">
        <v>63</v>
      </c>
      <c r="B30" s="14">
        <v>1</v>
      </c>
    </row>
    <row r="33" spans="1:2" x14ac:dyDescent="0.25">
      <c r="A33" s="13" t="s">
        <v>91</v>
      </c>
      <c r="B33" s="13" t="s">
        <v>79</v>
      </c>
    </row>
    <row r="34" spans="1:2" x14ac:dyDescent="0.25">
      <c r="A34" s="14" t="s">
        <v>14</v>
      </c>
      <c r="B34" s="15">
        <v>3650000</v>
      </c>
    </row>
    <row r="35" spans="1:2" x14ac:dyDescent="0.25">
      <c r="A35" s="14" t="s">
        <v>18</v>
      </c>
      <c r="B35" s="15">
        <v>2200000</v>
      </c>
    </row>
    <row r="36" spans="1:2" x14ac:dyDescent="0.25">
      <c r="A36" s="14" t="s">
        <v>20</v>
      </c>
      <c r="B36" s="15">
        <v>2150000</v>
      </c>
    </row>
    <row r="37" spans="1:2" x14ac:dyDescent="0.25">
      <c r="A37" s="14" t="s">
        <v>21</v>
      </c>
      <c r="B37" s="15">
        <v>810000</v>
      </c>
    </row>
    <row r="38" spans="1:2" x14ac:dyDescent="0.25">
      <c r="A38" s="14" t="s">
        <v>36</v>
      </c>
      <c r="B38" s="15">
        <v>810000</v>
      </c>
    </row>
  </sheetData>
  <mergeCells count="1">
    <mergeCell ref="A1:P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2B788"/>
  </sheetPr>
  <dimension ref="A1:H69"/>
  <sheetViews>
    <sheetView zoomScaleNormal="100" workbookViewId="0">
      <pane ySplit="14" topLeftCell="A15" activePane="bottomLeft" state="frozen"/>
      <selection pane="bottomLeft" activeCell="A14" sqref="A14"/>
    </sheetView>
  </sheetViews>
  <sheetFormatPr defaultColWidth="8.7109375" defaultRowHeight="15" x14ac:dyDescent="0.25"/>
  <cols>
    <col min="1" max="1" width="24" customWidth="1"/>
    <col min="2" max="4" width="15" customWidth="1"/>
    <col min="5" max="6" width="12" customWidth="1"/>
    <col min="7" max="7" width="16" customWidth="1"/>
    <col min="8" max="8" width="18" customWidth="1"/>
  </cols>
  <sheetData>
    <row r="1" spans="1:8" ht="36" customHeight="1" x14ac:dyDescent="0.3">
      <c r="A1" s="5" t="s">
        <v>92</v>
      </c>
      <c r="B1" s="5"/>
      <c r="C1" s="5"/>
      <c r="D1" s="5"/>
      <c r="E1" s="5"/>
      <c r="F1" s="5"/>
      <c r="G1" s="5"/>
      <c r="H1" s="5"/>
    </row>
    <row r="3" spans="1:8" ht="15.75" x14ac:dyDescent="0.25">
      <c r="A3" s="4" t="s">
        <v>93</v>
      </c>
      <c r="B3" s="4"/>
      <c r="C3" s="4"/>
      <c r="D3" s="4"/>
      <c r="E3" s="4"/>
      <c r="F3" s="4"/>
      <c r="G3" s="4"/>
      <c r="H3" s="4"/>
    </row>
    <row r="5" spans="1:8" ht="15" customHeight="1" x14ac:dyDescent="0.25">
      <c r="A5" s="3" t="s">
        <v>94</v>
      </c>
      <c r="B5" s="3"/>
      <c r="D5" s="3" t="s">
        <v>95</v>
      </c>
      <c r="E5" s="3"/>
      <c r="G5" s="3" t="s">
        <v>96</v>
      </c>
      <c r="H5" s="3"/>
    </row>
    <row r="6" spans="1:8" ht="23.25" x14ac:dyDescent="0.25">
      <c r="A6" s="2">
        <f>COUNTA('Park Data'!A5:A46)</f>
        <v>42</v>
      </c>
      <c r="B6" s="2"/>
      <c r="D6" s="2">
        <f>'Park Data'!J47</f>
        <v>18977000</v>
      </c>
      <c r="E6" s="2"/>
      <c r="G6" s="2">
        <f>'Park Data'!J47/COUNTA('Park Data'!A5:A46)</f>
        <v>451833.33333333331</v>
      </c>
      <c r="H6" s="2"/>
    </row>
    <row r="8" spans="1:8" ht="15" customHeight="1" x14ac:dyDescent="0.25">
      <c r="A8" s="3" t="s">
        <v>97</v>
      </c>
      <c r="B8" s="3"/>
      <c r="D8" s="3" t="s">
        <v>98</v>
      </c>
      <c r="E8" s="3"/>
      <c r="G8" s="3" t="s">
        <v>99</v>
      </c>
      <c r="H8" s="3"/>
    </row>
    <row r="9" spans="1:8" ht="23.25" x14ac:dyDescent="0.25">
      <c r="A9" s="2">
        <f>COUNTIF('Park Data'!K5:K46,"&gt;0")</f>
        <v>28</v>
      </c>
      <c r="B9" s="2"/>
      <c r="D9" s="2">
        <f>COUNTIF('Park Data'!L5:L46,"Yes")</f>
        <v>30</v>
      </c>
      <c r="E9" s="2"/>
      <c r="G9" s="2">
        <f>MEDIAN('Park Data'!D5:D46)</f>
        <v>2489.5</v>
      </c>
      <c r="H9" s="2"/>
    </row>
    <row r="13" spans="1:8" ht="15.75" x14ac:dyDescent="0.25">
      <c r="A13" s="4" t="s">
        <v>100</v>
      </c>
      <c r="B13" s="4"/>
      <c r="C13" s="4"/>
      <c r="D13" s="4"/>
      <c r="E13" s="4"/>
      <c r="F13" s="4"/>
      <c r="G13" s="4"/>
      <c r="H13" s="4"/>
    </row>
    <row r="14" spans="1:8" ht="30" x14ac:dyDescent="0.25">
      <c r="A14" s="8" t="s">
        <v>2</v>
      </c>
      <c r="B14" s="8" t="s">
        <v>79</v>
      </c>
      <c r="C14" s="8" t="s">
        <v>101</v>
      </c>
      <c r="D14" s="8" t="s">
        <v>102</v>
      </c>
      <c r="E14" s="8" t="s">
        <v>103</v>
      </c>
      <c r="F14" s="8" t="s">
        <v>104</v>
      </c>
      <c r="G14" s="8" t="s">
        <v>105</v>
      </c>
      <c r="H14" s="8" t="s">
        <v>106</v>
      </c>
    </row>
    <row r="15" spans="1:8" x14ac:dyDescent="0.25">
      <c r="A15" s="19" t="s">
        <v>14</v>
      </c>
      <c r="B15" s="20">
        <f>'Park Data'!J5</f>
        <v>3650000</v>
      </c>
      <c r="C15" s="21">
        <f>IF('Park Data'!D5&gt;0, 'Park Data'!J5/'Park Data'!D5, 0)</f>
        <v>380.44611215342923</v>
      </c>
      <c r="D15" s="22">
        <f>IF('Park Data'!E5&gt;0, ('Park Data'!J5-'Park Data'!E5)/'Park Data'!E5, "N/A")</f>
        <v>-3.9473684210526314E-2</v>
      </c>
      <c r="E15" s="23">
        <f>RANK(B15, B15:B56)</f>
        <v>1</v>
      </c>
      <c r="F15" s="24">
        <f>INDEX({2018,2019,2020,2021,2022,2023}, MATCH(MAX('Park Data'!E5:J5), 'Park Data'!E5:J5, 0))</f>
        <v>2021</v>
      </c>
      <c r="G15" s="22">
        <f>IF('Park Data'!F5&gt;0, ('Park Data'!G5-'Park Data'!F5)/'Park Data'!F5, "N/A")</f>
        <v>7.1428571428571425E-2</v>
      </c>
      <c r="H15" s="23" t="str">
        <f t="shared" ref="H15:H56" si="0">IF(B15&gt;=1000000,"High Traffic",IF(B15&gt;=300000,"Medium Traffic",IF(B15&gt;=100000,"Moderate","Low Traffic")))</f>
        <v>High Traffic</v>
      </c>
    </row>
    <row r="16" spans="1:8" x14ac:dyDescent="0.25">
      <c r="A16" s="19" t="s">
        <v>18</v>
      </c>
      <c r="B16" s="20">
        <f>'Park Data'!J6</f>
        <v>2200000</v>
      </c>
      <c r="C16" s="21">
        <f>IF('Park Data'!D6&gt;0, 'Park Data'!J6/'Park Data'!D6, 0)</f>
        <v>523.80952380952385</v>
      </c>
      <c r="D16" s="22">
        <f>IF('Park Data'!E6&gt;0, ('Park Data'!J6-'Park Data'!E6)/'Park Data'!E6, "N/A")</f>
        <v>0.22222222222222221</v>
      </c>
      <c r="E16" s="23">
        <f>RANK(B16, B15:B56)</f>
        <v>2</v>
      </c>
      <c r="F16" s="24">
        <f>INDEX({2018,2019,2020,2021,2022,2023}, MATCH(MAX('Park Data'!E6:J6), 'Park Data'!E6:J6, 0))</f>
        <v>2021</v>
      </c>
      <c r="G16" s="22">
        <f>IF('Park Data'!F6&gt;0, ('Park Data'!G6-'Park Data'!F6)/'Park Data'!F6, "N/A")</f>
        <v>0.23684210526315788</v>
      </c>
      <c r="H16" s="23" t="str">
        <f t="shared" si="0"/>
        <v>High Traffic</v>
      </c>
    </row>
    <row r="17" spans="1:8" x14ac:dyDescent="0.25">
      <c r="A17" s="19" t="s">
        <v>20</v>
      </c>
      <c r="B17" s="20">
        <f>'Park Data'!J7</f>
        <v>2150000</v>
      </c>
      <c r="C17" s="21">
        <f>IF('Park Data'!D7&gt;0, 'Park Data'!J7/'Park Data'!D7, 0)</f>
        <v>383.92857142857144</v>
      </c>
      <c r="D17" s="22">
        <f>IF('Park Data'!E7&gt;0, ('Park Data'!J7-'Park Data'!E7)/'Park Data'!E7, "N/A")</f>
        <v>0.22857142857142856</v>
      </c>
      <c r="E17" s="23">
        <f>RANK(B17, B15:B56)</f>
        <v>3</v>
      </c>
      <c r="F17" s="24">
        <f>INDEX({2018,2019,2020,2021,2022,2023}, MATCH(MAX('Park Data'!E7:J7), 'Park Data'!E7:J7, 0))</f>
        <v>2021</v>
      </c>
      <c r="G17" s="22">
        <f>IF('Park Data'!F7&gt;0, ('Park Data'!G7-'Park Data'!F7)/'Park Data'!F7, "N/A")</f>
        <v>0.1891891891891892</v>
      </c>
      <c r="H17" s="23" t="str">
        <f t="shared" si="0"/>
        <v>High Traffic</v>
      </c>
    </row>
    <row r="18" spans="1:8" x14ac:dyDescent="0.25">
      <c r="A18" s="19" t="s">
        <v>21</v>
      </c>
      <c r="B18" s="20">
        <f>'Park Data'!J8</f>
        <v>810000</v>
      </c>
      <c r="C18" s="21">
        <f>IF('Park Data'!D8&gt;0, 'Park Data'!J8/'Park Data'!D8, 0)</f>
        <v>476.47058823529414</v>
      </c>
      <c r="D18" s="22">
        <f>IF('Park Data'!E8&gt;0, ('Park Data'!J8-'Park Data'!E8)/'Park Data'!E8, "N/A")</f>
        <v>0.30645161290322581</v>
      </c>
      <c r="E18" s="23">
        <f>RANK(B18, B15:B56)</f>
        <v>4</v>
      </c>
      <c r="F18" s="24">
        <f>INDEX({2018,2019,2020,2021,2022,2023}, MATCH(MAX('Park Data'!E8:J8), 'Park Data'!E8:J8, 0))</f>
        <v>2021</v>
      </c>
      <c r="G18" s="22">
        <f>IF('Park Data'!F8&gt;0, ('Park Data'!G8-'Park Data'!F8)/'Park Data'!F8, "N/A")</f>
        <v>0.25</v>
      </c>
      <c r="H18" s="23" t="str">
        <f t="shared" si="0"/>
        <v>Medium Traffic</v>
      </c>
    </row>
    <row r="19" spans="1:8" x14ac:dyDescent="0.25">
      <c r="A19" s="19" t="s">
        <v>23</v>
      </c>
      <c r="B19" s="20">
        <f>'Park Data'!J9</f>
        <v>415000</v>
      </c>
      <c r="C19" s="21">
        <f>IF('Park Data'!D9&gt;0, 'Park Data'!J9/'Park Data'!D9, 0)</f>
        <v>153.7037037037037</v>
      </c>
      <c r="D19" s="22">
        <f>IF('Park Data'!E9&gt;0, ('Park Data'!J9-'Park Data'!E9)/'Park Data'!E9, "N/A")</f>
        <v>0.33870967741935482</v>
      </c>
      <c r="E19" s="23">
        <f>RANK(B19, B15:B56)</f>
        <v>12</v>
      </c>
      <c r="F19" s="24">
        <f>INDEX({2018,2019,2020,2021,2022,2023}, MATCH(MAX('Park Data'!E9:J9), 'Park Data'!E9:J9, 0))</f>
        <v>2021</v>
      </c>
      <c r="G19" s="22">
        <f>IF('Park Data'!F9&gt;0, ('Park Data'!G9-'Park Data'!F9)/'Park Data'!F9, "N/A")</f>
        <v>0.26470588235294118</v>
      </c>
      <c r="H19" s="23" t="str">
        <f t="shared" si="0"/>
        <v>Medium Traffic</v>
      </c>
    </row>
    <row r="20" spans="1:8" x14ac:dyDescent="0.25">
      <c r="A20" s="19" t="s">
        <v>24</v>
      </c>
      <c r="B20" s="20">
        <f>'Park Data'!J10</f>
        <v>695000</v>
      </c>
      <c r="C20" s="21">
        <f>IF('Park Data'!D10&gt;0, 'Park Data'!J10/'Park Data'!D10, 0)</f>
        <v>46.333333333333336</v>
      </c>
      <c r="D20" s="22">
        <f>IF('Park Data'!E10&gt;0, ('Park Data'!J10-'Park Data'!E10)/'Park Data'!E10, "N/A")</f>
        <v>0.19827586206896552</v>
      </c>
      <c r="E20" s="23">
        <f>RANK(B20, B15:B56)</f>
        <v>7</v>
      </c>
      <c r="F20" s="24">
        <f>INDEX({2018,2019,2020,2021,2022,2023}, MATCH(MAX('Park Data'!E10:J10), 'Park Data'!E10:J10, 0))</f>
        <v>2021</v>
      </c>
      <c r="G20" s="22">
        <f>IF('Park Data'!F10&gt;0, ('Park Data'!G10-'Park Data'!F10)/'Park Data'!F10, "N/A")</f>
        <v>0.14516129032258066</v>
      </c>
      <c r="H20" s="23" t="str">
        <f t="shared" si="0"/>
        <v>Medium Traffic</v>
      </c>
    </row>
    <row r="21" spans="1:8" x14ac:dyDescent="0.25">
      <c r="A21" s="19" t="s">
        <v>26</v>
      </c>
      <c r="B21" s="20">
        <f>'Park Data'!J11</f>
        <v>385000</v>
      </c>
      <c r="C21" s="21">
        <f>IF('Park Data'!D11&gt;0, 'Park Data'!J11/'Park Data'!D11, 0)</f>
        <v>175</v>
      </c>
      <c r="D21" s="22">
        <f>IF('Park Data'!E11&gt;0, ('Park Data'!J11-'Park Data'!E11)/'Park Data'!E11, "N/A")</f>
        <v>0.375</v>
      </c>
      <c r="E21" s="23">
        <f>RANK(B21, B15:B56)</f>
        <v>15</v>
      </c>
      <c r="F21" s="24">
        <f>INDEX({2018,2019,2020,2021,2022,2023}, MATCH(MAX('Park Data'!E11:J11), 'Park Data'!E11:J11, 0))</f>
        <v>2021</v>
      </c>
      <c r="G21" s="22">
        <f>IF('Park Data'!F11&gt;0, ('Park Data'!G11-'Park Data'!F11)/'Park Data'!F11, "N/A")</f>
        <v>0.25806451612903225</v>
      </c>
      <c r="H21" s="23" t="str">
        <f t="shared" si="0"/>
        <v>Medium Traffic</v>
      </c>
    </row>
    <row r="22" spans="1:8" x14ac:dyDescent="0.25">
      <c r="A22" s="19" t="s">
        <v>27</v>
      </c>
      <c r="B22" s="20">
        <f>'Park Data'!J12</f>
        <v>425000</v>
      </c>
      <c r="C22" s="21">
        <f>IF('Park Data'!D12&gt;0, 'Park Data'!J12/'Park Data'!D12, 0)</f>
        <v>55.468546071521793</v>
      </c>
      <c r="D22" s="22">
        <f>IF('Park Data'!E12&gt;0, ('Park Data'!J12-'Park Data'!E12)/'Park Data'!E12, "N/A")</f>
        <v>0.328125</v>
      </c>
      <c r="E22" s="23">
        <f>RANK(B22, B15:B56)</f>
        <v>9</v>
      </c>
      <c r="F22" s="24">
        <f>INDEX({2018,2019,2020,2021,2022,2023}, MATCH(MAX('Park Data'!E12:J12), 'Park Data'!E12:J12, 0))</f>
        <v>2021</v>
      </c>
      <c r="G22" s="22">
        <f>IF('Park Data'!F12&gt;0, ('Park Data'!G12-'Park Data'!F12)/'Park Data'!F12, "N/A")</f>
        <v>0.25714285714285712</v>
      </c>
      <c r="H22" s="23" t="str">
        <f t="shared" si="0"/>
        <v>Medium Traffic</v>
      </c>
    </row>
    <row r="23" spans="1:8" x14ac:dyDescent="0.25">
      <c r="A23" s="19" t="s">
        <v>29</v>
      </c>
      <c r="B23" s="20">
        <f>'Park Data'!J13</f>
        <v>130000</v>
      </c>
      <c r="C23" s="21">
        <f>IF('Park Data'!D13&gt;0, 'Park Data'!J13/'Park Data'!D13, 0)</f>
        <v>52</v>
      </c>
      <c r="D23" s="22">
        <f>IF('Park Data'!E13&gt;0, ('Park Data'!J13-'Park Data'!E13)/'Park Data'!E13, "N/A")</f>
        <v>0.36842105263157893</v>
      </c>
      <c r="E23" s="23">
        <f>RANK(B23, B15:B56)</f>
        <v>31</v>
      </c>
      <c r="F23" s="24">
        <f>INDEX({2018,2019,2020,2021,2022,2023}, MATCH(MAX('Park Data'!E13:J13), 'Park Data'!E13:J13, 0))</f>
        <v>2021</v>
      </c>
      <c r="G23" s="22">
        <f>IF('Park Data'!F13&gt;0, ('Park Data'!G13-'Park Data'!F13)/'Park Data'!F13, "N/A")</f>
        <v>0.2857142857142857</v>
      </c>
      <c r="H23" s="23" t="str">
        <f t="shared" si="0"/>
        <v>Moderate</v>
      </c>
    </row>
    <row r="24" spans="1:8" x14ac:dyDescent="0.25">
      <c r="A24" s="19" t="s">
        <v>30</v>
      </c>
      <c r="B24" s="20">
        <f>'Park Data'!J14</f>
        <v>240000</v>
      </c>
      <c r="C24" s="21">
        <f>IF('Park Data'!D14&gt;0, 'Park Data'!J14/'Park Data'!D14, 0)</f>
        <v>104.34782608695652</v>
      </c>
      <c r="D24" s="22">
        <f>IF('Park Data'!E14&gt;0, ('Park Data'!J14-'Park Data'!E14)/'Park Data'!E14, "N/A")</f>
        <v>0.33333333333333331</v>
      </c>
      <c r="E24" s="23">
        <f>RANK(B24, B15:B56)</f>
        <v>23</v>
      </c>
      <c r="F24" s="24">
        <f>INDEX({2018,2019,2020,2021,2022,2023}, MATCH(MAX('Park Data'!E14:J14), 'Park Data'!E14:J14, 0))</f>
        <v>2021</v>
      </c>
      <c r="G24" s="22">
        <f>IF('Park Data'!F14&gt;0, ('Park Data'!G14-'Park Data'!F14)/'Park Data'!F14, "N/A")</f>
        <v>0.25641025641025639</v>
      </c>
      <c r="H24" s="23" t="str">
        <f t="shared" si="0"/>
        <v>Moderate</v>
      </c>
    </row>
    <row r="25" spans="1:8" x14ac:dyDescent="0.25">
      <c r="A25" s="19" t="s">
        <v>31</v>
      </c>
      <c r="B25" s="20">
        <f>'Park Data'!J15</f>
        <v>230000</v>
      </c>
      <c r="C25" s="21">
        <f>IF('Park Data'!D15&gt;0, 'Park Data'!J15/'Park Data'!D15, 0)</f>
        <v>140.15843997562462</v>
      </c>
      <c r="D25" s="22">
        <f>IF('Park Data'!E15&gt;0, ('Park Data'!J15-'Park Data'!E15)/'Park Data'!E15, "N/A")</f>
        <v>1.1904761904761905</v>
      </c>
      <c r="E25" s="23">
        <f>RANK(B25, B15:B56)</f>
        <v>24</v>
      </c>
      <c r="F25" s="24">
        <f>INDEX({2018,2019,2020,2021,2022,2023}, MATCH(MAX('Park Data'!E15:J15), 'Park Data'!E15:J15, 0))</f>
        <v>2023</v>
      </c>
      <c r="G25" s="22">
        <f>IF('Park Data'!F15&gt;0, ('Park Data'!G15-'Park Data'!F15)/'Park Data'!F15, "N/A")</f>
        <v>0.28695652173913044</v>
      </c>
      <c r="H25" s="23" t="str">
        <f t="shared" si="0"/>
        <v>Moderate</v>
      </c>
    </row>
    <row r="26" spans="1:8" x14ac:dyDescent="0.25">
      <c r="A26" s="19" t="s">
        <v>33</v>
      </c>
      <c r="B26" s="20">
        <f>'Park Data'!J16</f>
        <v>290000</v>
      </c>
      <c r="C26" s="21">
        <f>IF('Park Data'!D16&gt;0, 'Park Data'!J16/'Park Data'!D16, 0)</f>
        <v>102.83687943262412</v>
      </c>
      <c r="D26" s="22">
        <f>IF('Park Data'!E16&gt;0, ('Park Data'!J16-'Park Data'!E16)/'Park Data'!E16, "N/A")</f>
        <v>0.38095238095238093</v>
      </c>
      <c r="E26" s="23">
        <f>RANK(B26, B15:B56)</f>
        <v>18</v>
      </c>
      <c r="F26" s="24">
        <f>INDEX({2018,2019,2020,2021,2022,2023}, MATCH(MAX('Park Data'!E16:J16), 'Park Data'!E16:J16, 0))</f>
        <v>2021</v>
      </c>
      <c r="G26" s="22">
        <f>IF('Park Data'!F16&gt;0, ('Park Data'!G16-'Park Data'!F16)/'Park Data'!F16, "N/A")</f>
        <v>0.28260869565217389</v>
      </c>
      <c r="H26" s="23" t="str">
        <f t="shared" si="0"/>
        <v>Moderate</v>
      </c>
    </row>
    <row r="27" spans="1:8" x14ac:dyDescent="0.25">
      <c r="A27" s="19" t="s">
        <v>34</v>
      </c>
      <c r="B27" s="20">
        <f>'Park Data'!J17</f>
        <v>400000</v>
      </c>
      <c r="C27" s="21">
        <f>IF('Park Data'!D17&gt;0, 'Park Data'!J17/'Park Data'!D17, 0)</f>
        <v>147.32965009208104</v>
      </c>
      <c r="D27" s="22">
        <f>IF('Park Data'!E17&gt;0, ('Park Data'!J17-'Park Data'!E17)/'Park Data'!E17, "N/A")</f>
        <v>0.29032258064516131</v>
      </c>
      <c r="E27" s="23">
        <f>RANK(B27, B15:B56)</f>
        <v>13</v>
      </c>
      <c r="F27" s="24">
        <f>INDEX({2018,2019,2020,2021,2022,2023}, MATCH(MAX('Park Data'!E17:J17), 'Park Data'!E17:J17, 0))</f>
        <v>2021</v>
      </c>
      <c r="G27" s="22">
        <f>IF('Park Data'!F17&gt;0, ('Park Data'!G17-'Park Data'!F17)/'Park Data'!F17, "N/A")</f>
        <v>0.22058823529411764</v>
      </c>
      <c r="H27" s="23" t="str">
        <f t="shared" si="0"/>
        <v>Medium Traffic</v>
      </c>
    </row>
    <row r="28" spans="1:8" x14ac:dyDescent="0.25">
      <c r="A28" s="19" t="s">
        <v>36</v>
      </c>
      <c r="B28" s="20">
        <f>'Park Data'!J18</f>
        <v>810000</v>
      </c>
      <c r="C28" s="21">
        <f>IF('Park Data'!D18&gt;0, 'Park Data'!J18/'Park Data'!D18, 0)</f>
        <v>67.5</v>
      </c>
      <c r="D28" s="22">
        <f>IF('Park Data'!E18&gt;0, ('Park Data'!J18-'Park Data'!E18)/'Park Data'!E18, "N/A")</f>
        <v>0.30645161290322581</v>
      </c>
      <c r="E28" s="23">
        <f>RANK(B28, B15:B56)</f>
        <v>4</v>
      </c>
      <c r="F28" s="24">
        <f>INDEX({2018,2019,2020,2021,2022,2023}, MATCH(MAX('Park Data'!E18:J18), 'Park Data'!E18:J18, 0))</f>
        <v>2021</v>
      </c>
      <c r="G28" s="22">
        <f>IF('Park Data'!F18&gt;0, ('Park Data'!G18-'Park Data'!F18)/'Park Data'!F18, "N/A")</f>
        <v>0.27941176470588236</v>
      </c>
      <c r="H28" s="23" t="str">
        <f t="shared" si="0"/>
        <v>Medium Traffic</v>
      </c>
    </row>
    <row r="29" spans="1:8" x14ac:dyDescent="0.25">
      <c r="A29" s="19" t="s">
        <v>39</v>
      </c>
      <c r="B29" s="20">
        <f>'Park Data'!J19</f>
        <v>530000</v>
      </c>
      <c r="C29" s="21">
        <f>IF('Park Data'!D19&gt;0, 'Park Data'!J19/'Park Data'!D19, 0)</f>
        <v>598.87005649717514</v>
      </c>
      <c r="D29" s="22">
        <f>IF('Park Data'!E19&gt;0, ('Park Data'!J19-'Park Data'!E19)/'Park Data'!E19, "N/A")</f>
        <v>0.39473684210526316</v>
      </c>
      <c r="E29" s="23">
        <f>RANK(B29, B15:B56)</f>
        <v>8</v>
      </c>
      <c r="F29" s="24">
        <f>INDEX({2018,2019,2020,2021,2022,2023}, MATCH(MAX('Park Data'!E19:J19), 'Park Data'!E19:J19, 0))</f>
        <v>2021</v>
      </c>
      <c r="G29" s="22">
        <f>IF('Park Data'!F19&gt;0, ('Park Data'!G19-'Park Data'!F19)/'Park Data'!F19, "N/A")</f>
        <v>0.26190476190476192</v>
      </c>
      <c r="H29" s="23" t="str">
        <f t="shared" si="0"/>
        <v>Medium Traffic</v>
      </c>
    </row>
    <row r="30" spans="1:8" x14ac:dyDescent="0.25">
      <c r="A30" s="19" t="s">
        <v>41</v>
      </c>
      <c r="B30" s="20">
        <f>'Park Data'!J20</f>
        <v>385000</v>
      </c>
      <c r="C30" s="21">
        <f>IF('Park Data'!D20&gt;0, 'Park Data'!J20/'Park Data'!D20, 0)</f>
        <v>96.25</v>
      </c>
      <c r="D30" s="22">
        <f>IF('Park Data'!E20&gt;0, ('Park Data'!J20-'Park Data'!E20)/'Park Data'!E20, "N/A")</f>
        <v>0.375</v>
      </c>
      <c r="E30" s="23">
        <f>RANK(B30, B15:B56)</f>
        <v>15</v>
      </c>
      <c r="F30" s="24">
        <f>INDEX({2018,2019,2020,2021,2022,2023}, MATCH(MAX('Park Data'!E20:J20), 'Park Data'!E20:J20, 0))</f>
        <v>2021</v>
      </c>
      <c r="G30" s="22">
        <f>IF('Park Data'!F20&gt;0, ('Park Data'!G20-'Park Data'!F20)/'Park Data'!F20, "N/A")</f>
        <v>0.29032258064516131</v>
      </c>
      <c r="H30" s="23" t="str">
        <f t="shared" si="0"/>
        <v>Medium Traffic</v>
      </c>
    </row>
    <row r="31" spans="1:8" x14ac:dyDescent="0.25">
      <c r="A31" s="19" t="s">
        <v>43</v>
      </c>
      <c r="B31" s="20">
        <f>'Park Data'!J21</f>
        <v>420000</v>
      </c>
      <c r="C31" s="21">
        <f>IF('Park Data'!D21&gt;0, 'Park Data'!J21/'Park Data'!D21, 0)</f>
        <v>160.2441816100725</v>
      </c>
      <c r="D31" s="22">
        <f>IF('Park Data'!E21&gt;0, ('Park Data'!J21-'Park Data'!E21)/'Park Data'!E21, "N/A")</f>
        <v>0.35483870967741937</v>
      </c>
      <c r="E31" s="23">
        <f>RANK(B31, B15:B56)</f>
        <v>11</v>
      </c>
      <c r="F31" s="24">
        <f>INDEX({2018,2019,2020,2021,2022,2023}, MATCH(MAX('Park Data'!E21:J21), 'Park Data'!E21:J21, 0))</f>
        <v>2021</v>
      </c>
      <c r="G31" s="22">
        <f>IF('Park Data'!F21&gt;0, ('Park Data'!G21-'Park Data'!F21)/'Park Data'!F21, "N/A")</f>
        <v>0.27941176470588236</v>
      </c>
      <c r="H31" s="23" t="str">
        <f t="shared" si="0"/>
        <v>Medium Traffic</v>
      </c>
    </row>
    <row r="32" spans="1:8" x14ac:dyDescent="0.25">
      <c r="A32" s="19" t="s">
        <v>44</v>
      </c>
      <c r="B32" s="20">
        <f>'Park Data'!J22</f>
        <v>275000</v>
      </c>
      <c r="C32" s="21">
        <f>IF('Park Data'!D22&gt;0, 'Park Data'!J22/'Park Data'!D22, 0)</f>
        <v>71.839080459770116</v>
      </c>
      <c r="D32" s="22">
        <f>IF('Park Data'!E22&gt;0, ('Park Data'!J22-'Park Data'!E22)/'Park Data'!E22, "N/A")</f>
        <v>0.52777777777777779</v>
      </c>
      <c r="E32" s="23">
        <f>RANK(B32, B15:B56)</f>
        <v>19</v>
      </c>
      <c r="F32" s="24">
        <f>INDEX({2018,2019,2020,2021,2022,2023}, MATCH(MAX('Park Data'!E22:J22), 'Park Data'!E22:J22, 0))</f>
        <v>2021</v>
      </c>
      <c r="G32" s="22">
        <f>IF('Park Data'!F22&gt;0, ('Park Data'!G22-'Park Data'!F22)/'Park Data'!F22, "N/A")</f>
        <v>0.33333333333333331</v>
      </c>
      <c r="H32" s="23" t="str">
        <f t="shared" si="0"/>
        <v>Moderate</v>
      </c>
    </row>
    <row r="33" spans="1:8" x14ac:dyDescent="0.25">
      <c r="A33" s="19" t="s">
        <v>45</v>
      </c>
      <c r="B33" s="20">
        <f>'Park Data'!J23</f>
        <v>270000</v>
      </c>
      <c r="C33" s="21">
        <f>IF('Park Data'!D23&gt;0, 'Park Data'!J23/'Park Data'!D23, 0)</f>
        <v>52.816901408450704</v>
      </c>
      <c r="D33" s="22">
        <f>IF('Park Data'!E23&gt;0, ('Park Data'!J23-'Park Data'!E23)/'Park Data'!E23, "N/A")</f>
        <v>0.38461538461538464</v>
      </c>
      <c r="E33" s="23">
        <f>RANK(B33, B15:B56)</f>
        <v>21</v>
      </c>
      <c r="F33" s="24">
        <f>INDEX({2018,2019,2020,2021,2022,2023}, MATCH(MAX('Park Data'!E23:J23), 'Park Data'!E23:J23, 0))</f>
        <v>2021</v>
      </c>
      <c r="G33" s="22">
        <f>IF('Park Data'!F23&gt;0, ('Park Data'!G23-'Park Data'!F23)/'Park Data'!F23, "N/A")</f>
        <v>0.27906976744186046</v>
      </c>
      <c r="H33" s="23" t="str">
        <f t="shared" si="0"/>
        <v>Moderate</v>
      </c>
    </row>
    <row r="34" spans="1:8" x14ac:dyDescent="0.25">
      <c r="A34" s="19" t="s">
        <v>46</v>
      </c>
      <c r="B34" s="20">
        <f>'Park Data'!J24</f>
        <v>380000</v>
      </c>
      <c r="C34" s="21">
        <f>IF('Park Data'!D24&gt;0, 'Park Data'!J24/'Park Data'!D24, 0)</f>
        <v>140.68863383931878</v>
      </c>
      <c r="D34" s="22">
        <f>IF('Park Data'!E24&gt;0, ('Park Data'!J24-'Park Data'!E24)/'Park Data'!E24, "N/A")</f>
        <v>0.33333333333333331</v>
      </c>
      <c r="E34" s="23">
        <f>RANK(B34, B15:B56)</f>
        <v>17</v>
      </c>
      <c r="F34" s="24">
        <f>INDEX({2018,2019,2020,2021,2022,2023}, MATCH(MAX('Park Data'!E24:J24), 'Park Data'!E24:J24, 0))</f>
        <v>2021</v>
      </c>
      <c r="G34" s="22">
        <f>IF('Park Data'!F24&gt;0, ('Park Data'!G24-'Park Data'!F24)/'Park Data'!F24, "N/A")</f>
        <v>0.25806451612903225</v>
      </c>
      <c r="H34" s="23" t="str">
        <f t="shared" si="0"/>
        <v>Medium Traffic</v>
      </c>
    </row>
    <row r="35" spans="1:8" x14ac:dyDescent="0.25">
      <c r="A35" s="19" t="s">
        <v>47</v>
      </c>
      <c r="B35" s="20">
        <f>'Park Data'!J25</f>
        <v>425000</v>
      </c>
      <c r="C35" s="21">
        <f>IF('Park Data'!D25&gt;0, 'Park Data'!J25/'Park Data'!D25, 0)</f>
        <v>171.44009681323115</v>
      </c>
      <c r="D35" s="22">
        <f>IF('Park Data'!E25&gt;0, ('Park Data'!J25-'Park Data'!E25)/'Park Data'!E25, "N/A")</f>
        <v>0.37096774193548387</v>
      </c>
      <c r="E35" s="23">
        <f>RANK(B35, B15:B56)</f>
        <v>9</v>
      </c>
      <c r="F35" s="24">
        <f>INDEX({2018,2019,2020,2021,2022,2023}, MATCH(MAX('Park Data'!E25:J25), 'Park Data'!E25:J25, 0))</f>
        <v>2021</v>
      </c>
      <c r="G35" s="22">
        <f>IF('Park Data'!F25&gt;0, ('Park Data'!G25-'Park Data'!F25)/'Park Data'!F25, "N/A")</f>
        <v>0.27536231884057971</v>
      </c>
      <c r="H35" s="23" t="str">
        <f t="shared" si="0"/>
        <v>Medium Traffic</v>
      </c>
    </row>
    <row r="36" spans="1:8" x14ac:dyDescent="0.25">
      <c r="A36" s="19" t="s">
        <v>48</v>
      </c>
      <c r="B36" s="20">
        <f>'Park Data'!J26</f>
        <v>122000</v>
      </c>
      <c r="C36" s="21">
        <f>IF('Park Data'!D26&gt;0, 'Park Data'!J26/'Park Data'!D26, 0)</f>
        <v>76.971608832807576</v>
      </c>
      <c r="D36" s="22">
        <f>IF('Park Data'!E26&gt;0, ('Park Data'!J26-'Park Data'!E26)/'Park Data'!E26, "N/A")</f>
        <v>0.43529411764705883</v>
      </c>
      <c r="E36" s="23">
        <f>RANK(B36, B15:B56)</f>
        <v>32</v>
      </c>
      <c r="F36" s="24">
        <f>INDEX({2018,2019,2020,2021,2022,2023}, MATCH(MAX('Park Data'!E26:J26), 'Park Data'!E26:J26, 0))</f>
        <v>2021</v>
      </c>
      <c r="G36" s="22">
        <f>IF('Park Data'!F26&gt;0, ('Park Data'!G26-'Park Data'!F26)/'Park Data'!F26, "N/A")</f>
        <v>0.31578947368421051</v>
      </c>
      <c r="H36" s="23" t="str">
        <f t="shared" si="0"/>
        <v>Moderate</v>
      </c>
    </row>
    <row r="37" spans="1:8" x14ac:dyDescent="0.25">
      <c r="A37" s="19" t="s">
        <v>49</v>
      </c>
      <c r="B37" s="20">
        <f>'Park Data'!J27</f>
        <v>275000</v>
      </c>
      <c r="C37" s="21">
        <f>IF('Park Data'!D27&gt;0, 'Park Data'!J27/'Park Data'!D27, 0)</f>
        <v>3.8732394366197185</v>
      </c>
      <c r="D37" s="22">
        <f>IF('Park Data'!E27&gt;0, ('Park Data'!J27-'Park Data'!E27)/'Park Data'!E27, "N/A")</f>
        <v>0.41025641025641024</v>
      </c>
      <c r="E37" s="23">
        <f>RANK(B37, B15:B56)</f>
        <v>19</v>
      </c>
      <c r="F37" s="24">
        <f>INDEX({2018,2019,2020,2021,2022,2023}, MATCH(MAX('Park Data'!E27:J27), 'Park Data'!E27:J27, 0))</f>
        <v>2021</v>
      </c>
      <c r="G37" s="22">
        <f>IF('Park Data'!F27&gt;0, ('Park Data'!G27-'Park Data'!F27)/'Park Data'!F27, "N/A")</f>
        <v>0.30232558139534882</v>
      </c>
      <c r="H37" s="23" t="str">
        <f t="shared" si="0"/>
        <v>Moderate</v>
      </c>
    </row>
    <row r="38" spans="1:8" x14ac:dyDescent="0.25">
      <c r="A38" s="19" t="s">
        <v>51</v>
      </c>
      <c r="B38" s="20">
        <f>'Park Data'!J28</f>
        <v>81000</v>
      </c>
      <c r="C38" s="21">
        <f>IF('Park Data'!D28&gt;0, 'Park Data'!J28/'Park Data'!D28, 0)</f>
        <v>95.294117647058826</v>
      </c>
      <c r="D38" s="22">
        <f>IF('Park Data'!E28&gt;0, ('Park Data'!J28-'Park Data'!E28)/'Park Data'!E28, "N/A")</f>
        <v>0.47272727272727272</v>
      </c>
      <c r="E38" s="23">
        <f>RANK(B38, B15:B56)</f>
        <v>37</v>
      </c>
      <c r="F38" s="24">
        <f>INDEX({2018,2019,2020,2021,2022,2023}, MATCH(MAX('Park Data'!E28:J28), 'Park Data'!E28:J28, 0))</f>
        <v>2021</v>
      </c>
      <c r="G38" s="22">
        <f>IF('Park Data'!F28&gt;0, ('Park Data'!G28-'Park Data'!F28)/'Park Data'!F28, "N/A")</f>
        <v>0.32258064516129031</v>
      </c>
      <c r="H38" s="23" t="str">
        <f t="shared" si="0"/>
        <v>Low Traffic</v>
      </c>
    </row>
    <row r="39" spans="1:8" x14ac:dyDescent="0.25">
      <c r="A39" s="19" t="s">
        <v>52</v>
      </c>
      <c r="B39" s="20">
        <f>'Park Data'!J29</f>
        <v>172000</v>
      </c>
      <c r="C39" s="21">
        <f>IF('Park Data'!D29&gt;0, 'Park Data'!J29/'Park Data'!D29, 0)</f>
        <v>3583.3333333333335</v>
      </c>
      <c r="D39" s="22">
        <f>IF('Park Data'!E29&gt;0, ('Park Data'!J29-'Park Data'!E29)/'Park Data'!E29, "N/A")</f>
        <v>0.43333333333333335</v>
      </c>
      <c r="E39" s="23">
        <f>RANK(B39, B15:B56)</f>
        <v>26</v>
      </c>
      <c r="F39" s="24">
        <f>INDEX({2018,2019,2020,2021,2022,2023}, MATCH(MAX('Park Data'!E29:J29), 'Park Data'!E29:J29, 0))</f>
        <v>2021</v>
      </c>
      <c r="G39" s="22">
        <f>IF('Park Data'!F29&gt;0, ('Park Data'!G29-'Park Data'!F29)/'Park Data'!F29, "N/A")</f>
        <v>0.29629629629629628</v>
      </c>
      <c r="H39" s="23" t="str">
        <f t="shared" si="0"/>
        <v>Moderate</v>
      </c>
    </row>
    <row r="40" spans="1:8" x14ac:dyDescent="0.25">
      <c r="A40" s="19" t="s">
        <v>54</v>
      </c>
      <c r="B40" s="20">
        <f>'Park Data'!J30</f>
        <v>250000</v>
      </c>
      <c r="C40" s="21">
        <f>IF('Park Data'!D30&gt;0, 'Park Data'!J30/'Park Data'!D30, 0)</f>
        <v>191.57088122605364</v>
      </c>
      <c r="D40" s="22">
        <f>IF('Park Data'!E30&gt;0, ('Park Data'!J30-'Park Data'!E30)/'Park Data'!E30, "N/A")</f>
        <v>0.3888888888888889</v>
      </c>
      <c r="E40" s="23">
        <f>RANK(B40, B15:B56)</f>
        <v>22</v>
      </c>
      <c r="F40" s="24">
        <f>INDEX({2018,2019,2020,2021,2022,2023}, MATCH(MAX('Park Data'!E30:J30), 'Park Data'!E30:J30, 0))</f>
        <v>2021</v>
      </c>
      <c r="G40" s="22">
        <f>IF('Park Data'!F30&gt;0, ('Park Data'!G30-'Park Data'!F30)/'Park Data'!F30, "N/A")</f>
        <v>0.27500000000000002</v>
      </c>
      <c r="H40" s="23" t="str">
        <f t="shared" si="0"/>
        <v>Moderate</v>
      </c>
    </row>
    <row r="41" spans="1:8" x14ac:dyDescent="0.25">
      <c r="A41" s="19" t="s">
        <v>55</v>
      </c>
      <c r="B41" s="20">
        <f>'Park Data'!J31</f>
        <v>225000</v>
      </c>
      <c r="C41" s="21">
        <f>IF('Park Data'!D31&gt;0, 'Park Data'!J31/'Park Data'!D31, 0)</f>
        <v>387.93103448275861</v>
      </c>
      <c r="D41" s="22">
        <f>IF('Park Data'!E31&gt;0, ('Park Data'!J31-'Park Data'!E31)/'Park Data'!E31, "N/A")</f>
        <v>0.36363636363636365</v>
      </c>
      <c r="E41" s="23">
        <f>RANK(B41, B15:B56)</f>
        <v>25</v>
      </c>
      <c r="F41" s="24">
        <f>INDEX({2018,2019,2020,2021,2022,2023}, MATCH(MAX('Park Data'!E31:J31), 'Park Data'!E31:J31, 0))</f>
        <v>2021</v>
      </c>
      <c r="G41" s="22">
        <f>IF('Park Data'!F31&gt;0, ('Park Data'!G31-'Park Data'!F31)/'Park Data'!F31, "N/A")</f>
        <v>0.26373626373626374</v>
      </c>
      <c r="H41" s="23" t="str">
        <f t="shared" si="0"/>
        <v>Moderate</v>
      </c>
    </row>
    <row r="42" spans="1:8" x14ac:dyDescent="0.25">
      <c r="A42" s="19" t="s">
        <v>56</v>
      </c>
      <c r="B42" s="20">
        <f>'Park Data'!J32</f>
        <v>168000</v>
      </c>
      <c r="C42" s="21">
        <f>IF('Park Data'!D32&gt;0, 'Park Data'!J32/'Park Data'!D32, 0)</f>
        <v>186.66666666666666</v>
      </c>
      <c r="D42" s="22">
        <f>IF('Park Data'!E32&gt;0, ('Park Data'!J32-'Park Data'!E32)/'Park Data'!E32, "N/A")</f>
        <v>0.4</v>
      </c>
      <c r="E42" s="23">
        <f>RANK(B42, B15:B56)</f>
        <v>28</v>
      </c>
      <c r="F42" s="24">
        <f>INDEX({2018,2019,2020,2021,2022,2023}, MATCH(MAX('Park Data'!E32:J32), 'Park Data'!E32:J32, 0))</f>
        <v>2021</v>
      </c>
      <c r="G42" s="22">
        <f>IF('Park Data'!F32&gt;0, ('Park Data'!G32-'Park Data'!F32)/'Park Data'!F32, "N/A")</f>
        <v>0.27407407407407408</v>
      </c>
      <c r="H42" s="23" t="str">
        <f t="shared" si="0"/>
        <v>Moderate</v>
      </c>
    </row>
    <row r="43" spans="1:8" x14ac:dyDescent="0.25">
      <c r="A43" s="19" t="s">
        <v>57</v>
      </c>
      <c r="B43" s="20">
        <f>'Park Data'!J33</f>
        <v>133000</v>
      </c>
      <c r="C43" s="21">
        <f>IF('Park Data'!D33&gt;0, 'Park Data'!J33/'Park Data'!D33, 0)</f>
        <v>88.489687292082507</v>
      </c>
      <c r="D43" s="22">
        <f>IF('Park Data'!E33&gt;0, ('Park Data'!J33-'Park Data'!E33)/'Park Data'!E33, "N/A")</f>
        <v>0.4</v>
      </c>
      <c r="E43" s="23">
        <f>RANK(B43, B15:B56)</f>
        <v>30</v>
      </c>
      <c r="F43" s="24">
        <f>INDEX({2018,2019,2020,2021,2022,2023}, MATCH(MAX('Park Data'!E33:J33), 'Park Data'!E33:J33, 0))</f>
        <v>2021</v>
      </c>
      <c r="G43" s="22">
        <f>IF('Park Data'!F33&gt;0, ('Park Data'!G33-'Park Data'!F33)/'Park Data'!F33, "N/A")</f>
        <v>0.2857142857142857</v>
      </c>
      <c r="H43" s="23" t="str">
        <f t="shared" si="0"/>
        <v>Moderate</v>
      </c>
    </row>
    <row r="44" spans="1:8" x14ac:dyDescent="0.25">
      <c r="A44" s="19" t="s">
        <v>58</v>
      </c>
      <c r="B44" s="20">
        <f>'Park Data'!J34</f>
        <v>108000</v>
      </c>
      <c r="C44" s="21">
        <f>IF('Park Data'!D34&gt;0, 'Park Data'!J34/'Park Data'!D34, 0)</f>
        <v>320.47477744807122</v>
      </c>
      <c r="D44" s="22">
        <f>IF('Park Data'!E34&gt;0, ('Park Data'!J34-'Park Data'!E34)/'Park Data'!E34, "N/A")</f>
        <v>0.38461538461538464</v>
      </c>
      <c r="E44" s="23">
        <f>RANK(B44, B15:B56)</f>
        <v>34</v>
      </c>
      <c r="F44" s="24">
        <f>INDEX({2018,2019,2020,2021,2022,2023}, MATCH(MAX('Park Data'!E34:J34), 'Park Data'!E34:J34, 0))</f>
        <v>2021</v>
      </c>
      <c r="G44" s="22">
        <f>IF('Park Data'!F34&gt;0, ('Park Data'!G34-'Park Data'!F34)/'Park Data'!F34, "N/A")</f>
        <v>0.27906976744186046</v>
      </c>
      <c r="H44" s="23" t="str">
        <f t="shared" si="0"/>
        <v>Moderate</v>
      </c>
    </row>
    <row r="45" spans="1:8" x14ac:dyDescent="0.25">
      <c r="A45" s="19" t="s">
        <v>59</v>
      </c>
      <c r="B45" s="20">
        <f>'Park Data'!J35</f>
        <v>86000</v>
      </c>
      <c r="C45" s="21">
        <f>IF('Park Data'!D35&gt;0, 'Park Data'!J35/'Park Data'!D35, 0)</f>
        <v>254.4378698224852</v>
      </c>
      <c r="D45" s="22">
        <f>IF('Park Data'!E35&gt;0, ('Park Data'!J35-'Park Data'!E35)/'Park Data'!E35, "N/A")</f>
        <v>0.38709677419354838</v>
      </c>
      <c r="E45" s="23">
        <f>RANK(B45, B15:B56)</f>
        <v>36</v>
      </c>
      <c r="F45" s="24">
        <f>INDEX({2018,2019,2020,2021,2022,2023}, MATCH(MAX('Park Data'!E35:J35), 'Park Data'!E35:J35, 0))</f>
        <v>2021</v>
      </c>
      <c r="G45" s="22">
        <f>IF('Park Data'!F35&gt;0, ('Park Data'!G35-'Park Data'!F35)/'Park Data'!F35, "N/A")</f>
        <v>0.29411764705882354</v>
      </c>
      <c r="H45" s="23" t="str">
        <f t="shared" si="0"/>
        <v>Low Traffic</v>
      </c>
    </row>
    <row r="46" spans="1:8" x14ac:dyDescent="0.25">
      <c r="A46" s="19" t="s">
        <v>60</v>
      </c>
      <c r="B46" s="20">
        <f>'Park Data'!J36</f>
        <v>63000</v>
      </c>
      <c r="C46" s="21">
        <f>IF('Park Data'!D36&gt;0, 'Park Data'!J36/'Park Data'!D36, 0)</f>
        <v>293.02325581395348</v>
      </c>
      <c r="D46" s="22">
        <f>IF('Park Data'!E36&gt;0, ('Park Data'!J36-'Park Data'!E36)/'Park Data'!E36, "N/A")</f>
        <v>0.4</v>
      </c>
      <c r="E46" s="23">
        <f>RANK(B46, B15:B56)</f>
        <v>38</v>
      </c>
      <c r="F46" s="24">
        <f>INDEX({2018,2019,2020,2021,2022,2023}, MATCH(MAX('Park Data'!E36:J36), 'Park Data'!E36:J36, 0))</f>
        <v>2021</v>
      </c>
      <c r="G46" s="22">
        <f>IF('Park Data'!F36&gt;0, ('Park Data'!G36-'Park Data'!F36)/'Park Data'!F36, "N/A")</f>
        <v>0.28000000000000003</v>
      </c>
      <c r="H46" s="23" t="str">
        <f t="shared" si="0"/>
        <v>Low Traffic</v>
      </c>
    </row>
    <row r="47" spans="1:8" x14ac:dyDescent="0.25">
      <c r="A47" s="19" t="s">
        <v>61</v>
      </c>
      <c r="B47" s="20">
        <f>'Park Data'!J37</f>
        <v>148000</v>
      </c>
      <c r="C47" s="21">
        <f>IF('Park Data'!D37&gt;0, 'Park Data'!J37/'Park Data'!D37, 0)</f>
        <v>48.877146631439892</v>
      </c>
      <c r="D47" s="22">
        <f>IF('Park Data'!E37&gt;0, ('Park Data'!J37-'Park Data'!E37)/'Park Data'!E37, "N/A")</f>
        <v>0.34545454545454546</v>
      </c>
      <c r="E47" s="23">
        <f>RANK(B47, B15:B56)</f>
        <v>29</v>
      </c>
      <c r="F47" s="24">
        <f>INDEX({2018,2019,2020,2021,2022,2023}, MATCH(MAX('Park Data'!E37:J37), 'Park Data'!E37:J37, 0))</f>
        <v>2021</v>
      </c>
      <c r="G47" s="22">
        <f>IF('Park Data'!F37&gt;0, ('Park Data'!G37-'Park Data'!F37)/'Park Data'!F37, "N/A")</f>
        <v>0.26666666666666666</v>
      </c>
      <c r="H47" s="23" t="str">
        <f t="shared" si="0"/>
        <v>Moderate</v>
      </c>
    </row>
    <row r="48" spans="1:8" x14ac:dyDescent="0.25">
      <c r="A48" s="19" t="s">
        <v>62</v>
      </c>
      <c r="B48" s="20">
        <f>'Park Data'!J38</f>
        <v>57000</v>
      </c>
      <c r="C48" s="21">
        <f>IF('Park Data'!D38&gt;0, 'Park Data'!J38/'Park Data'!D38, 0)</f>
        <v>11.875</v>
      </c>
      <c r="D48" s="22">
        <f>IF('Park Data'!E38&gt;0, ('Park Data'!J38-'Park Data'!E38)/'Park Data'!E38, "N/A")</f>
        <v>0.35714285714285715</v>
      </c>
      <c r="E48" s="23">
        <f>RANK(B48, B15:B56)</f>
        <v>39</v>
      </c>
      <c r="F48" s="24">
        <f>INDEX({2018,2019,2020,2021,2022,2023}, MATCH(MAX('Park Data'!E38:J38), 'Park Data'!E38:J38, 0))</f>
        <v>2021</v>
      </c>
      <c r="G48" s="22">
        <f>IF('Park Data'!F38&gt;0, ('Park Data'!G38-'Park Data'!F38)/'Park Data'!F38, "N/A")</f>
        <v>0.2608695652173913</v>
      </c>
      <c r="H48" s="23" t="str">
        <f t="shared" si="0"/>
        <v>Low Traffic</v>
      </c>
    </row>
    <row r="49" spans="1:8" x14ac:dyDescent="0.25">
      <c r="A49" s="19" t="s">
        <v>64</v>
      </c>
      <c r="B49" s="20">
        <f>'Park Data'!J39</f>
        <v>118000</v>
      </c>
      <c r="C49" s="21">
        <f>IF('Park Data'!D39&gt;0, 'Park Data'!J39/'Park Data'!D39, 0)</f>
        <v>9.0769230769230766</v>
      </c>
      <c r="D49" s="22">
        <f>IF('Park Data'!E39&gt;0, ('Park Data'!J39-'Park Data'!E39)/'Park Data'!E39, "N/A")</f>
        <v>0.38823529411764707</v>
      </c>
      <c r="E49" s="23">
        <f>RANK(B49, B15:B56)</f>
        <v>33</v>
      </c>
      <c r="F49" s="24">
        <f>INDEX({2018,2019,2020,2021,2022,2023}, MATCH(MAX('Park Data'!E39:J39), 'Park Data'!E39:J39, 0))</f>
        <v>2021</v>
      </c>
      <c r="G49" s="22">
        <f>IF('Park Data'!F39&gt;0, ('Park Data'!G39-'Park Data'!F39)/'Park Data'!F39, "N/A")</f>
        <v>0.27659574468085107</v>
      </c>
      <c r="H49" s="23" t="str">
        <f t="shared" si="0"/>
        <v>Moderate</v>
      </c>
    </row>
    <row r="50" spans="1:8" x14ac:dyDescent="0.25">
      <c r="A50" s="19" t="s">
        <v>65</v>
      </c>
      <c r="B50" s="20">
        <f>'Park Data'!J40</f>
        <v>700000</v>
      </c>
      <c r="C50" s="21">
        <f>IF('Park Data'!D40&gt;0, 'Park Data'!J40/'Park Data'!D40, 0)</f>
        <v>107.69230769230769</v>
      </c>
      <c r="D50" s="22">
        <f>IF('Park Data'!E40&gt;0, ('Park Data'!J40-'Park Data'!E40)/'Park Data'!E40, "N/A")</f>
        <v>0.34615384615384615</v>
      </c>
      <c r="E50" s="23">
        <f>RANK(B50, B15:B56)</f>
        <v>6</v>
      </c>
      <c r="F50" s="24">
        <f>INDEX({2018,2019,2020,2021,2022,2023}, MATCH(MAX('Park Data'!E40:J40), 'Park Data'!E40:J40, 0))</f>
        <v>2021</v>
      </c>
      <c r="G50" s="22">
        <f>IF('Park Data'!F40&gt;0, ('Park Data'!G40-'Park Data'!F40)/'Park Data'!F40, "N/A")</f>
        <v>0.26315789473684209</v>
      </c>
      <c r="H50" s="23" t="str">
        <f t="shared" si="0"/>
        <v>Medium Traffic</v>
      </c>
    </row>
    <row r="51" spans="1:8" x14ac:dyDescent="0.25">
      <c r="A51" s="19" t="s">
        <v>67</v>
      </c>
      <c r="B51" s="20">
        <f>'Park Data'!J41</f>
        <v>90000</v>
      </c>
      <c r="C51" s="21">
        <f>IF('Park Data'!D41&gt;0, 'Park Data'!J41/'Park Data'!D41, 0)</f>
        <v>313.58885017421602</v>
      </c>
      <c r="D51" s="22">
        <f>IF('Park Data'!E41&gt;0, ('Park Data'!J41-'Park Data'!E41)/'Park Data'!E41, "N/A")</f>
        <v>0.38461538461538464</v>
      </c>
      <c r="E51" s="23">
        <f>RANK(B51, B15:B56)</f>
        <v>35</v>
      </c>
      <c r="F51" s="24">
        <f>INDEX({2018,2019,2020,2021,2022,2023}, MATCH(MAX('Park Data'!E41:J41), 'Park Data'!E41:J41, 0))</f>
        <v>2021</v>
      </c>
      <c r="G51" s="22">
        <f>IF('Park Data'!F41&gt;0, ('Park Data'!G41-'Park Data'!F41)/'Park Data'!F41, "N/A")</f>
        <v>0.27777777777777779</v>
      </c>
      <c r="H51" s="23" t="str">
        <f t="shared" si="0"/>
        <v>Low Traffic</v>
      </c>
    </row>
    <row r="52" spans="1:8" x14ac:dyDescent="0.25">
      <c r="A52" s="19" t="s">
        <v>68</v>
      </c>
      <c r="B52" s="20">
        <f>'Park Data'!J42</f>
        <v>52000</v>
      </c>
      <c r="C52" s="21">
        <f>IF('Park Data'!D42&gt;0, 'Park Data'!J42/'Park Data'!D42, 0)</f>
        <v>130</v>
      </c>
      <c r="D52" s="22">
        <f>IF('Park Data'!E42&gt;0, ('Park Data'!J42-'Park Data'!E42)/'Park Data'!E42, "N/A")</f>
        <v>0.36842105263157893</v>
      </c>
      <c r="E52" s="23">
        <f>RANK(B52, B15:B56)</f>
        <v>40</v>
      </c>
      <c r="F52" s="24">
        <f>INDEX({2018,2019,2020,2021,2022,2023}, MATCH(MAX('Park Data'!E42:J42), 'Park Data'!E42:J42, 0))</f>
        <v>2021</v>
      </c>
      <c r="G52" s="22">
        <f>IF('Park Data'!F42&gt;0, ('Park Data'!G42-'Park Data'!F42)/'Park Data'!F42, "N/A")</f>
        <v>0.26190476190476192</v>
      </c>
      <c r="H52" s="23" t="str">
        <f t="shared" si="0"/>
        <v>Low Traffic</v>
      </c>
    </row>
    <row r="53" spans="1:8" x14ac:dyDescent="0.25">
      <c r="A53" s="19" t="s">
        <v>69</v>
      </c>
      <c r="B53" s="20">
        <f>'Park Data'!J43</f>
        <v>172000</v>
      </c>
      <c r="C53" s="21">
        <f>IF('Park Data'!D43&gt;0, 'Park Data'!J43/'Park Data'!D43, 0)</f>
        <v>286.66666666666669</v>
      </c>
      <c r="D53" s="22">
        <f>IF('Park Data'!E43&gt;0, ('Park Data'!J43-'Park Data'!E43)/'Park Data'!E43, "N/A")</f>
        <v>0.376</v>
      </c>
      <c r="E53" s="23">
        <f>RANK(B53, B15:B56)</f>
        <v>26</v>
      </c>
      <c r="F53" s="24">
        <f>INDEX({2018,2019,2020,2021,2022,2023}, MATCH(MAX('Park Data'!E43:J43), 'Park Data'!E43:J43, 0))</f>
        <v>2021</v>
      </c>
      <c r="G53" s="22">
        <f>IF('Park Data'!F43&gt;0, ('Park Data'!G43-'Park Data'!F43)/'Park Data'!F43, "N/A")</f>
        <v>0.26811594202898553</v>
      </c>
      <c r="H53" s="23" t="str">
        <f t="shared" si="0"/>
        <v>Moderate</v>
      </c>
    </row>
    <row r="54" spans="1:8" x14ac:dyDescent="0.25">
      <c r="A54" s="19" t="s">
        <v>70</v>
      </c>
      <c r="B54" s="20">
        <f>'Park Data'!J44</f>
        <v>395000</v>
      </c>
      <c r="C54" s="21">
        <f>IF('Park Data'!D44&gt;0, 'Park Data'!J44/'Park Data'!D44, 0)</f>
        <v>653.97350993377484</v>
      </c>
      <c r="D54" s="22">
        <f>IF('Park Data'!E44&gt;0, ('Park Data'!J44-'Park Data'!E44)/'Park Data'!E44, "N/A")</f>
        <v>0.36206896551724138</v>
      </c>
      <c r="E54" s="23">
        <f>RANK(B54, B15:B56)</f>
        <v>14</v>
      </c>
      <c r="F54" s="24">
        <f>INDEX({2018,2019,2020,2021,2022,2023}, MATCH(MAX('Park Data'!E44:J44), 'Park Data'!E44:J44, 0))</f>
        <v>2021</v>
      </c>
      <c r="G54" s="22">
        <f>IF('Park Data'!F44&gt;0, ('Park Data'!G44-'Park Data'!F44)/'Park Data'!F44, "N/A")</f>
        <v>0.265625</v>
      </c>
      <c r="H54" s="23" t="str">
        <f t="shared" si="0"/>
        <v>Medium Traffic</v>
      </c>
    </row>
    <row r="55" spans="1:8" x14ac:dyDescent="0.25">
      <c r="A55" s="19" t="s">
        <v>71</v>
      </c>
      <c r="B55" s="20">
        <f>'Park Data'!J45</f>
        <v>12000</v>
      </c>
      <c r="C55" s="21">
        <f>IF('Park Data'!D45&gt;0, 'Park Data'!J45/'Park Data'!D45, 0)</f>
        <v>0.625</v>
      </c>
      <c r="D55" s="22" t="str">
        <f>IF('Park Data'!E45&gt;0, ('Park Data'!J45-'Park Data'!E45)/'Park Data'!E45, "N/A")</f>
        <v>N/A</v>
      </c>
      <c r="E55" s="23">
        <f>RANK(B55, B15:B56)</f>
        <v>42</v>
      </c>
      <c r="F55" s="24">
        <f>INDEX({2018,2019,2020,2021,2022,2023}, MATCH(MAX('Park Data'!E45:J45), 'Park Data'!E45:J45, 0))</f>
        <v>2023</v>
      </c>
      <c r="G55" s="22" t="str">
        <f>IF('Park Data'!F45&gt;0, ('Park Data'!G45-'Park Data'!F45)/'Park Data'!F45, "N/A")</f>
        <v>N/A</v>
      </c>
      <c r="H55" s="23" t="str">
        <f t="shared" si="0"/>
        <v>Low Traffic</v>
      </c>
    </row>
    <row r="56" spans="1:8" x14ac:dyDescent="0.25">
      <c r="A56" s="19" t="s">
        <v>72</v>
      </c>
      <c r="B56" s="20">
        <f>'Park Data'!J46</f>
        <v>35000</v>
      </c>
      <c r="C56" s="21">
        <f>IF('Park Data'!D46&gt;0, 'Park Data'!J46/'Park Data'!D46, 0)</f>
        <v>72.016460905349788</v>
      </c>
      <c r="D56" s="22" t="str">
        <f>IF('Park Data'!E46&gt;0, ('Park Data'!J46-'Park Data'!E46)/'Park Data'!E46, "N/A")</f>
        <v>N/A</v>
      </c>
      <c r="E56" s="23">
        <f>RANK(B56, B15:B56)</f>
        <v>41</v>
      </c>
      <c r="F56" s="24">
        <f>INDEX({2018,2019,2020,2021,2022,2023}, MATCH(MAX('Park Data'!E46:J46), 'Park Data'!E46:J46, 0))</f>
        <v>2023</v>
      </c>
      <c r="G56" s="22" t="str">
        <f>IF('Park Data'!F46&gt;0, ('Park Data'!G46-'Park Data'!F46)/'Park Data'!F46, "N/A")</f>
        <v>N/A</v>
      </c>
      <c r="H56" s="23" t="str">
        <f t="shared" si="0"/>
        <v>Low Traffic</v>
      </c>
    </row>
    <row r="59" spans="1:8" x14ac:dyDescent="0.25">
      <c r="A59" s="1" t="s">
        <v>107</v>
      </c>
      <c r="B59" s="1"/>
      <c r="C59" s="1"/>
      <c r="D59" s="1"/>
      <c r="E59" s="1"/>
      <c r="F59" s="1"/>
      <c r="G59" s="1"/>
      <c r="H59" s="1"/>
    </row>
    <row r="61" spans="1:8" ht="15.75" x14ac:dyDescent="0.25">
      <c r="A61" s="4" t="s">
        <v>108</v>
      </c>
      <c r="B61" s="4"/>
      <c r="C61" s="4"/>
      <c r="D61" s="4"/>
    </row>
    <row r="63" spans="1:8" x14ac:dyDescent="0.25">
      <c r="A63" s="13" t="s">
        <v>109</v>
      </c>
      <c r="B63" s="16" t="s">
        <v>14</v>
      </c>
    </row>
    <row r="65" spans="1:2" x14ac:dyDescent="0.25">
      <c r="A65" s="17" t="s">
        <v>110</v>
      </c>
      <c r="B65" s="18" t="str">
        <f>VLOOKUP(B63,'Park Data'!A5:L46,2,FALSE())</f>
        <v>Southeast</v>
      </c>
    </row>
    <row r="66" spans="1:2" x14ac:dyDescent="0.25">
      <c r="A66" s="17" t="s">
        <v>111</v>
      </c>
      <c r="B66" s="18" t="str">
        <f>VLOOKUP(B63,'Park Data'!A5:L46,3,FALSE())</f>
        <v>Reservoir</v>
      </c>
    </row>
    <row r="67" spans="1:2" x14ac:dyDescent="0.25">
      <c r="A67" s="17" t="s">
        <v>112</v>
      </c>
      <c r="B67" s="18">
        <f>VLOOKUP(B63,'Park Data'!A5:L46,4,FALSE())</f>
        <v>9594</v>
      </c>
    </row>
    <row r="68" spans="1:2" x14ac:dyDescent="0.25">
      <c r="A68" s="17" t="s">
        <v>113</v>
      </c>
      <c r="B68" s="18">
        <f>VLOOKUP(B63,'Park Data'!A5:L46,6,FALSE())</f>
        <v>4200000</v>
      </c>
    </row>
    <row r="69" spans="1:2" x14ac:dyDescent="0.25">
      <c r="A69" s="17" t="s">
        <v>114</v>
      </c>
      <c r="B69" s="18" t="str">
        <f>VLOOKUP(B63,'Park Data'!A5:L46,12,FALSE())</f>
        <v>Yes</v>
      </c>
    </row>
  </sheetData>
  <mergeCells count="17">
    <mergeCell ref="A61:D61"/>
    <mergeCell ref="A9:B9"/>
    <mergeCell ref="D9:E9"/>
    <mergeCell ref="G9:H9"/>
    <mergeCell ref="A13:H13"/>
    <mergeCell ref="A59:H59"/>
    <mergeCell ref="A6:B6"/>
    <mergeCell ref="D6:E6"/>
    <mergeCell ref="G6:H6"/>
    <mergeCell ref="A8:B8"/>
    <mergeCell ref="D8:E8"/>
    <mergeCell ref="G8:H8"/>
    <mergeCell ref="A1:H1"/>
    <mergeCell ref="A3:H3"/>
    <mergeCell ref="A5:B5"/>
    <mergeCell ref="D5:E5"/>
    <mergeCell ref="G5:H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Park Data</vt:lpstr>
      <vt:lpstr>Pivot Analysis</vt:lpstr>
      <vt:lpstr>Dashboard</vt:lpstr>
      <vt:lpstr>Formulas &amp;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Cody Coressel</cp:lastModifiedBy>
  <cp:revision>1</cp:revision>
  <dcterms:created xsi:type="dcterms:W3CDTF">2026-04-24T22:54:21Z</dcterms:created>
  <dcterms:modified xsi:type="dcterms:W3CDTF">2026-04-24T23:13:07Z</dcterms:modified>
  <dc:language>en-US</dc:language>
</cp:coreProperties>
</file>